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9"/>
  <workbookPr defaultThemeVersion="124226"/>
  <mc:AlternateContent xmlns:mc="http://schemas.openxmlformats.org/markup-compatibility/2006">
    <mc:Choice Requires="x15">
      <x15ac:absPath xmlns:x15ac="http://schemas.microsoft.com/office/spreadsheetml/2010/11/ac" url="/Users/durdonakarimova/Downloads/"/>
    </mc:Choice>
  </mc:AlternateContent>
  <xr:revisionPtr revIDLastSave="0" documentId="8_{2742441A-1912-E947-BE4B-030315F68E43}" xr6:coauthVersionLast="47" xr6:coauthVersionMax="47" xr10:uidLastSave="{00000000-0000-0000-0000-000000000000}"/>
  <bookViews>
    <workbookView xWindow="0" yWindow="500" windowWidth="26960" windowHeight="16180" activeTab="4" xr2:uid="{00000000-000D-0000-FFFF-FFFF00000000}"/>
  </bookViews>
  <sheets>
    <sheet name="Data" sheetId="1" r:id="rId1"/>
    <sheet name="Analysis" sheetId="2" r:id="rId2"/>
    <sheet name="Forecasts" sheetId="3" r:id="rId3"/>
    <sheet name="Forecast Development" sheetId="5" r:id="rId4"/>
    <sheet name="Valuation" sheetId="4" r:id="rId5"/>
  </sheets>
  <definedNames>
    <definedName name="_xlnm._FilterDatabase" localSheetId="4" hidden="1">Valuation!$E$83:$I$91</definedName>
    <definedName name="Pal_Workbook_GUID" hidden="1">"CXTP1C6XTK66SIZVYWILZKMR"</definedName>
    <definedName name="_xlnm.Print_Area" localSheetId="1">Analysis!$A$1:$H$383</definedName>
    <definedName name="_xlnm.Print_Area" localSheetId="0">Data!$A$1:$G$156</definedName>
    <definedName name="_xlnm.Print_Area" localSheetId="3">'Forecast Development'!$A$1:$I$71</definedName>
    <definedName name="_xlnm.Print_Area" localSheetId="2">Forecasts!$A$1:$J$383</definedName>
    <definedName name="_xlnm.Print_Area" localSheetId="4">Valuation!$A$1:$J$281</definedName>
  </definedNames>
  <calcPr calcId="191028" iterate="1" iterateCount="100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6" i="3" l="1"/>
  <c r="E157" i="3"/>
  <c r="F157" i="3"/>
  <c r="G157" i="3"/>
  <c r="H157" i="3"/>
  <c r="I157" i="3"/>
  <c r="C173" i="3"/>
  <c r="B173" i="3"/>
  <c r="E136" i="3"/>
  <c r="E293" i="3"/>
  <c r="C303" i="3"/>
  <c r="C296" i="3"/>
  <c r="C297" i="3"/>
  <c r="C298" i="3"/>
  <c r="C301" i="3"/>
  <c r="C294" i="3"/>
  <c r="D296" i="3"/>
  <c r="D297" i="3"/>
  <c r="D298" i="3"/>
  <c r="C299" i="3"/>
  <c r="D299" i="3"/>
  <c r="C300" i="3"/>
  <c r="D300" i="3"/>
  <c r="D301" i="3"/>
  <c r="C302" i="3"/>
  <c r="D302" i="3"/>
  <c r="D303" i="3"/>
  <c r="C304" i="3"/>
  <c r="D304" i="3"/>
  <c r="C305" i="3"/>
  <c r="D305" i="3"/>
  <c r="C306" i="3"/>
  <c r="D306" i="3"/>
  <c r="F115" i="1"/>
  <c r="E34" i="3"/>
  <c r="B256" i="3"/>
  <c r="E68" i="3"/>
  <c r="E366" i="3"/>
  <c r="C323" i="3"/>
  <c r="F83" i="4"/>
  <c r="F26" i="4"/>
  <c r="C308" i="3"/>
  <c r="C315" i="3"/>
  <c r="F250" i="3"/>
  <c r="G250" i="3"/>
  <c r="H250" i="3"/>
  <c r="I250" i="3"/>
  <c r="E250" i="3"/>
  <c r="F244" i="3"/>
  <c r="G244" i="3"/>
  <c r="H244" i="3"/>
  <c r="I244" i="3"/>
  <c r="E244" i="3"/>
  <c r="E241" i="3"/>
  <c r="E268" i="3"/>
  <c r="E235" i="3"/>
  <c r="E308" i="3"/>
  <c r="B203" i="3"/>
  <c r="E197" i="3"/>
  <c r="F184" i="3"/>
  <c r="G184" i="3"/>
  <c r="H184" i="3"/>
  <c r="I184" i="3"/>
  <c r="E184" i="3"/>
  <c r="E169" i="3"/>
  <c r="B167" i="3"/>
  <c r="E161" i="3"/>
  <c r="D34" i="5"/>
  <c r="F34" i="5"/>
  <c r="F33" i="5"/>
  <c r="E33" i="5"/>
  <c r="E41" i="5"/>
  <c r="E40" i="5"/>
  <c r="E42" i="5"/>
  <c r="F53" i="5"/>
  <c r="E53" i="5"/>
  <c r="D69" i="5"/>
  <c r="F136" i="3"/>
  <c r="G136" i="3"/>
  <c r="H136" i="3"/>
  <c r="I136" i="3"/>
  <c r="E139" i="3"/>
  <c r="E133" i="3"/>
  <c r="F139" i="3"/>
  <c r="F140" i="3"/>
  <c r="E127" i="3"/>
  <c r="D92" i="3"/>
  <c r="B90" i="3"/>
  <c r="C90" i="3"/>
  <c r="D90" i="3"/>
  <c r="E90" i="4"/>
  <c r="C79" i="3"/>
  <c r="C94" i="1"/>
  <c r="D94" i="1"/>
  <c r="E94" i="1"/>
  <c r="F94" i="1"/>
  <c r="G94" i="1"/>
  <c r="D25" i="3"/>
  <c r="E21" i="3"/>
  <c r="E24" i="3"/>
  <c r="F25" i="3"/>
  <c r="G25" i="3" s="1"/>
  <c r="H25" i="3" s="1"/>
  <c r="I25" i="3" s="1"/>
  <c r="C14" i="1"/>
  <c r="D14" i="1"/>
  <c r="E14" i="1"/>
  <c r="F14" i="1"/>
  <c r="G14" i="1"/>
  <c r="B14" i="1"/>
  <c r="G128" i="1"/>
  <c r="C122" i="1"/>
  <c r="G113" i="1"/>
  <c r="F113" i="1"/>
  <c r="E113" i="1"/>
  <c r="D113" i="1"/>
  <c r="C113" i="1"/>
  <c r="B113" i="1"/>
  <c r="D56" i="1"/>
  <c r="G55" i="1"/>
  <c r="F55" i="1"/>
  <c r="E55" i="1"/>
  <c r="C55" i="1"/>
  <c r="B55" i="1"/>
  <c r="G53" i="1"/>
  <c r="F53" i="1"/>
  <c r="E53" i="1"/>
  <c r="D53" i="1"/>
  <c r="C53" i="1"/>
  <c r="B53" i="1"/>
  <c r="F47" i="1"/>
  <c r="F41" i="1"/>
  <c r="D41" i="1"/>
  <c r="C41" i="1"/>
  <c r="B41" i="1"/>
  <c r="F36" i="4"/>
  <c r="B338" i="2" l="1"/>
  <c r="F47" i="4" l="1"/>
  <c r="F40" i="4"/>
  <c r="F41" i="3" l="1"/>
  <c r="G41" i="3" s="1"/>
  <c r="H41" i="3" s="1"/>
  <c r="I41" i="3" s="1"/>
  <c r="C74" i="3"/>
  <c r="B74" i="3"/>
  <c r="A74" i="3"/>
  <c r="F75" i="3"/>
  <c r="G75" i="3" s="1"/>
  <c r="C40" i="3"/>
  <c r="B40" i="3"/>
  <c r="A40" i="3"/>
  <c r="D43" i="3"/>
  <c r="C43" i="3"/>
  <c r="B43" i="3"/>
  <c r="A43" i="3"/>
  <c r="D74" i="3"/>
  <c r="D40" i="3"/>
  <c r="B199" i="3"/>
  <c r="B196" i="3"/>
  <c r="C338" i="2"/>
  <c r="D338" i="2"/>
  <c r="F128" i="3"/>
  <c r="G128" i="3" s="1"/>
  <c r="H128" i="3" s="1"/>
  <c r="I128" i="3" s="1"/>
  <c r="F72" i="3"/>
  <c r="G72" i="3" s="1"/>
  <c r="H72" i="3" s="1"/>
  <c r="I72" i="3" s="1"/>
  <c r="H75" i="3" l="1"/>
  <c r="C76" i="3"/>
  <c r="D76" i="3"/>
  <c r="C42" i="3"/>
  <c r="D42" i="3"/>
  <c r="C45" i="3"/>
  <c r="D45" i="3"/>
  <c r="I75" i="3" l="1"/>
  <c r="F266" i="3"/>
  <c r="G266" i="3" s="1"/>
  <c r="H266" i="3" s="1"/>
  <c r="I266" i="3" s="1"/>
  <c r="C160" i="3"/>
  <c r="D160" i="3"/>
  <c r="B160" i="3"/>
  <c r="A160" i="3"/>
  <c r="B253" i="2"/>
  <c r="C253" i="2"/>
  <c r="D253" i="2"/>
  <c r="E253" i="2"/>
  <c r="B254" i="2"/>
  <c r="C254" i="2"/>
  <c r="D254" i="2"/>
  <c r="E254" i="2"/>
  <c r="B255" i="2"/>
  <c r="C255" i="2"/>
  <c r="D255" i="2"/>
  <c r="E255" i="2"/>
  <c r="B256" i="2"/>
  <c r="C256" i="2"/>
  <c r="D256" i="2"/>
  <c r="E256" i="2"/>
  <c r="B257" i="2"/>
  <c r="C257" i="2"/>
  <c r="D257" i="2"/>
  <c r="E257" i="2"/>
  <c r="B258" i="2"/>
  <c r="C258" i="2"/>
  <c r="D258" i="2"/>
  <c r="E258" i="2"/>
  <c r="B259" i="2"/>
  <c r="C259" i="2"/>
  <c r="D259" i="2"/>
  <c r="E259" i="2"/>
  <c r="B260" i="2"/>
  <c r="C260" i="2"/>
  <c r="D260" i="2"/>
  <c r="E260" i="2"/>
  <c r="G254" i="2"/>
  <c r="G255" i="2"/>
  <c r="G256" i="2"/>
  <c r="G257" i="2"/>
  <c r="G258" i="2"/>
  <c r="G259" i="2"/>
  <c r="G260" i="2"/>
  <c r="F254" i="2"/>
  <c r="F255" i="2"/>
  <c r="F256" i="2"/>
  <c r="F257" i="2"/>
  <c r="F258" i="2"/>
  <c r="F259" i="2"/>
  <c r="F260" i="2"/>
  <c r="A255" i="2"/>
  <c r="G253" i="2"/>
  <c r="F253" i="2"/>
  <c r="A203" i="2"/>
  <c r="B90" i="2"/>
  <c r="B16" i="2"/>
  <c r="G123" i="1"/>
  <c r="G158" i="2"/>
  <c r="B140" i="1"/>
  <c r="B123" i="1"/>
  <c r="B97" i="1"/>
  <c r="B67" i="1"/>
  <c r="B77" i="1" s="1"/>
  <c r="B63" i="1"/>
  <c r="B57" i="1"/>
  <c r="B59" i="1" s="1"/>
  <c r="B44" i="1"/>
  <c r="B50" i="1" s="1"/>
  <c r="B23" i="1"/>
  <c r="B33" i="1" s="1"/>
  <c r="C373" i="2"/>
  <c r="D373" i="2"/>
  <c r="E373" i="2"/>
  <c r="F373" i="2"/>
  <c r="B373" i="2"/>
  <c r="D90" i="2" l="1"/>
  <c r="C90" i="2"/>
  <c r="C309" i="3"/>
  <c r="D309" i="3"/>
  <c r="E90" i="2"/>
  <c r="B132" i="1"/>
  <c r="D162" i="3"/>
  <c r="C162" i="3"/>
  <c r="B83" i="1"/>
  <c r="B143" i="1" s="1"/>
  <c r="B60" i="1"/>
  <c r="B154" i="1" s="1"/>
  <c r="H227" i="4"/>
  <c r="F53" i="4"/>
  <c r="F52" i="4"/>
  <c r="F269" i="3"/>
  <c r="F30" i="5"/>
  <c r="G30" i="5" s="1"/>
  <c r="H30" i="5" s="1"/>
  <c r="F137" i="3"/>
  <c r="G137" i="3" s="1"/>
  <c r="H137" i="3" s="1"/>
  <c r="I137" i="3" s="1"/>
  <c r="A1" i="4"/>
  <c r="A2" i="4"/>
  <c r="A19" i="4"/>
  <c r="C19" i="4"/>
  <c r="A20" i="4"/>
  <c r="C20" i="4"/>
  <c r="F24" i="4"/>
  <c r="E278" i="4" s="1"/>
  <c r="F41" i="4"/>
  <c r="C71" i="4"/>
  <c r="A72" i="4"/>
  <c r="C72" i="4"/>
  <c r="A73" i="4"/>
  <c r="C73" i="4"/>
  <c r="C98" i="4"/>
  <c r="A99" i="4"/>
  <c r="C99" i="4"/>
  <c r="A100" i="4"/>
  <c r="C100" i="4"/>
  <c r="E109" i="4"/>
  <c r="F109" i="4"/>
  <c r="G109" i="4"/>
  <c r="H109" i="4"/>
  <c r="I109" i="4"/>
  <c r="J109" i="4"/>
  <c r="C128" i="4"/>
  <c r="A129" i="4"/>
  <c r="C129" i="4"/>
  <c r="A130" i="4"/>
  <c r="C130" i="4"/>
  <c r="C154" i="4"/>
  <c r="A155" i="4"/>
  <c r="C155" i="4"/>
  <c r="A156" i="4"/>
  <c r="C156" i="4"/>
  <c r="C185" i="4"/>
  <c r="A186" i="4"/>
  <c r="C186" i="4"/>
  <c r="A187" i="4"/>
  <c r="C187" i="4"/>
  <c r="C211" i="4"/>
  <c r="A212" i="4"/>
  <c r="C212" i="4"/>
  <c r="A213" i="4"/>
  <c r="C213" i="4"/>
  <c r="C247" i="4"/>
  <c r="A248" i="4"/>
  <c r="C248" i="4"/>
  <c r="A249" i="4"/>
  <c r="C249" i="4"/>
  <c r="A1" i="5"/>
  <c r="A2" i="5"/>
  <c r="B11" i="5"/>
  <c r="B12" i="5"/>
  <c r="E19" i="5"/>
  <c r="E26" i="5" s="1"/>
  <c r="E39" i="5" s="1"/>
  <c r="F19" i="5"/>
  <c r="F26" i="5" s="1"/>
  <c r="F39" i="5" s="1"/>
  <c r="G19" i="5"/>
  <c r="G26" i="5" s="1"/>
  <c r="G39" i="5" s="1"/>
  <c r="H19" i="5"/>
  <c r="H26" i="5" s="1"/>
  <c r="H39" i="5" s="1"/>
  <c r="I19" i="5"/>
  <c r="I26" i="5" s="1"/>
  <c r="I39" i="5" s="1"/>
  <c r="B28" i="5"/>
  <c r="C28" i="5"/>
  <c r="D28" i="5"/>
  <c r="D30" i="5" s="1"/>
  <c r="B29" i="5"/>
  <c r="C29" i="5"/>
  <c r="D29" i="5"/>
  <c r="F41" i="5"/>
  <c r="D57" i="5"/>
  <c r="D58" i="5"/>
  <c r="B68" i="5"/>
  <c r="C68" i="5"/>
  <c r="D68" i="5"/>
  <c r="A1" i="3"/>
  <c r="A2" i="3"/>
  <c r="A10" i="3"/>
  <c r="B10" i="3"/>
  <c r="A11" i="3"/>
  <c r="B11" i="3"/>
  <c r="J15" i="3"/>
  <c r="B19" i="3"/>
  <c r="B124" i="3" s="1"/>
  <c r="C19" i="3"/>
  <c r="C19" i="5" s="1"/>
  <c r="C26" i="5" s="1"/>
  <c r="C39" i="5" s="1"/>
  <c r="C64" i="5" s="1"/>
  <c r="D19" i="3"/>
  <c r="D291" i="3" s="1"/>
  <c r="A21" i="3"/>
  <c r="B21" i="3"/>
  <c r="C21" i="3"/>
  <c r="C75" i="3" s="1"/>
  <c r="D21" i="3"/>
  <c r="F22" i="3"/>
  <c r="G22" i="3" s="1"/>
  <c r="A24" i="3"/>
  <c r="B24" i="3"/>
  <c r="C24" i="3"/>
  <c r="D24" i="3"/>
  <c r="A27" i="3"/>
  <c r="A31" i="3"/>
  <c r="B31" i="3"/>
  <c r="C31" i="3"/>
  <c r="D31" i="3"/>
  <c r="F32" i="3"/>
  <c r="G32" i="3" s="1"/>
  <c r="H32" i="3" s="1"/>
  <c r="I32" i="3" s="1"/>
  <c r="A34" i="3"/>
  <c r="B34" i="3"/>
  <c r="C34" i="3"/>
  <c r="D34" i="3"/>
  <c r="A37" i="3"/>
  <c r="B37" i="3"/>
  <c r="C37" i="3"/>
  <c r="D37" i="3"/>
  <c r="F38" i="3"/>
  <c r="G38" i="3" s="1"/>
  <c r="H38" i="3" s="1"/>
  <c r="I38" i="3" s="1"/>
  <c r="A46" i="3"/>
  <c r="B46" i="3"/>
  <c r="C46" i="3"/>
  <c r="D46" i="3"/>
  <c r="F47" i="3"/>
  <c r="G47" i="3" s="1"/>
  <c r="H47" i="3" s="1"/>
  <c r="I47" i="3" s="1"/>
  <c r="A49" i="3"/>
  <c r="B49" i="3"/>
  <c r="C49" i="3"/>
  <c r="D49" i="3"/>
  <c r="F50" i="3"/>
  <c r="G50" i="3" s="1"/>
  <c r="H50" i="3" s="1"/>
  <c r="I50" i="3" s="1"/>
  <c r="A52" i="3"/>
  <c r="B52" i="3"/>
  <c r="C52" i="3"/>
  <c r="D52" i="3"/>
  <c r="F53" i="3"/>
  <c r="G53" i="3" s="1"/>
  <c r="H53" i="3" s="1"/>
  <c r="I53" i="3" s="1"/>
  <c r="A55" i="3"/>
  <c r="B55" i="3"/>
  <c r="C55" i="3"/>
  <c r="D55" i="3"/>
  <c r="F56" i="3"/>
  <c r="G56" i="3" s="1"/>
  <c r="H56" i="3" s="1"/>
  <c r="I56" i="3" s="1"/>
  <c r="A58" i="3"/>
  <c r="B58" i="3"/>
  <c r="C58" i="3"/>
  <c r="D58" i="3"/>
  <c r="F59" i="3"/>
  <c r="G59" i="3" s="1"/>
  <c r="H59" i="3" s="1"/>
  <c r="I59" i="3" s="1"/>
  <c r="A61" i="3"/>
  <c r="A65" i="3"/>
  <c r="B65" i="3"/>
  <c r="C65" i="3"/>
  <c r="D65" i="3"/>
  <c r="F66" i="3"/>
  <c r="G66" i="3" s="1"/>
  <c r="A68" i="3"/>
  <c r="F69" i="3"/>
  <c r="G69" i="3" s="1"/>
  <c r="H69" i="3" s="1"/>
  <c r="I69" i="3" s="1"/>
  <c r="A71" i="3"/>
  <c r="B71" i="3"/>
  <c r="C71" i="3"/>
  <c r="D71" i="3"/>
  <c r="A77" i="3"/>
  <c r="B77" i="3"/>
  <c r="C77" i="3"/>
  <c r="D77" i="3"/>
  <c r="F78" i="3"/>
  <c r="G78" i="3" s="1"/>
  <c r="H78" i="3" s="1"/>
  <c r="I78" i="3" s="1"/>
  <c r="A80" i="3"/>
  <c r="A84" i="3"/>
  <c r="B84" i="3"/>
  <c r="C84" i="3"/>
  <c r="D84" i="3"/>
  <c r="F85" i="3"/>
  <c r="G85" i="3" s="1"/>
  <c r="H85" i="3" s="1"/>
  <c r="I85" i="3" s="1"/>
  <c r="A87" i="3"/>
  <c r="B87" i="3"/>
  <c r="C87" i="3"/>
  <c r="D87" i="3"/>
  <c r="F88" i="3"/>
  <c r="G88" i="3" s="1"/>
  <c r="H88" i="3" s="1"/>
  <c r="I88" i="3" s="1"/>
  <c r="A90" i="3"/>
  <c r="F91" i="3"/>
  <c r="G91" i="3" s="1"/>
  <c r="H91" i="3" s="1"/>
  <c r="I91" i="3" s="1"/>
  <c r="A93" i="3"/>
  <c r="B93" i="3"/>
  <c r="C93" i="3"/>
  <c r="D93" i="3"/>
  <c r="F94" i="3"/>
  <c r="G94" i="3" s="1"/>
  <c r="H94" i="3" s="1"/>
  <c r="I94" i="3" s="1"/>
  <c r="A96" i="3"/>
  <c r="A99" i="3"/>
  <c r="B99" i="3"/>
  <c r="C99" i="3"/>
  <c r="D99" i="3"/>
  <c r="F100" i="3"/>
  <c r="G100" i="3" s="1"/>
  <c r="H100" i="3" s="1"/>
  <c r="I100" i="3" s="1"/>
  <c r="A102" i="3"/>
  <c r="A106" i="3"/>
  <c r="B106" i="3"/>
  <c r="C106" i="3"/>
  <c r="D106" i="3"/>
  <c r="F107" i="3"/>
  <c r="G107" i="3" s="1"/>
  <c r="H107" i="3" s="1"/>
  <c r="I107" i="3" s="1"/>
  <c r="A109" i="3"/>
  <c r="A115" i="3"/>
  <c r="B115" i="3"/>
  <c r="A116" i="3"/>
  <c r="B116" i="3"/>
  <c r="E124" i="3"/>
  <c r="F124" i="3"/>
  <c r="G124" i="3"/>
  <c r="H124" i="3"/>
  <c r="I124" i="3"/>
  <c r="J124" i="3"/>
  <c r="A127" i="3"/>
  <c r="B127" i="3"/>
  <c r="C127" i="3"/>
  <c r="D127" i="3"/>
  <c r="F127" i="3" s="1"/>
  <c r="G127" i="3" s="1"/>
  <c r="H127" i="3" s="1"/>
  <c r="I127" i="3" s="1"/>
  <c r="A130" i="3"/>
  <c r="B130" i="3"/>
  <c r="C130" i="3"/>
  <c r="D130" i="3"/>
  <c r="E130" i="3" s="1"/>
  <c r="F131" i="3"/>
  <c r="G131" i="3" s="1"/>
  <c r="H131" i="3" s="1"/>
  <c r="I131" i="3" s="1"/>
  <c r="A133" i="3"/>
  <c r="B133" i="3"/>
  <c r="C133" i="3"/>
  <c r="D133" i="3"/>
  <c r="A136" i="3"/>
  <c r="B136" i="3"/>
  <c r="C136" i="3"/>
  <c r="D136" i="3"/>
  <c r="A139" i="3"/>
  <c r="B139" i="3"/>
  <c r="C139" i="3"/>
  <c r="D139" i="3"/>
  <c r="A142" i="3"/>
  <c r="B142" i="3"/>
  <c r="C142" i="3"/>
  <c r="D142" i="3"/>
  <c r="E142" i="3" s="1"/>
  <c r="F143" i="3"/>
  <c r="G143" i="3" s="1"/>
  <c r="H143" i="3" s="1"/>
  <c r="I143" i="3" s="1"/>
  <c r="A145" i="3"/>
  <c r="B145" i="3"/>
  <c r="C145" i="3"/>
  <c r="D145" i="3"/>
  <c r="F146" i="3"/>
  <c r="G146" i="3" s="1"/>
  <c r="H146" i="3" s="1"/>
  <c r="I146" i="3" s="1"/>
  <c r="A148" i="3"/>
  <c r="A151" i="3"/>
  <c r="B151" i="3"/>
  <c r="C151" i="3"/>
  <c r="D151" i="3"/>
  <c r="E151" i="3" s="1"/>
  <c r="A154" i="3"/>
  <c r="A157" i="3"/>
  <c r="A163" i="3"/>
  <c r="B163" i="3"/>
  <c r="C163" i="3"/>
  <c r="D163" i="3"/>
  <c r="A166" i="3"/>
  <c r="B166" i="3"/>
  <c r="C166" i="3"/>
  <c r="D166" i="3"/>
  <c r="E167" i="3"/>
  <c r="A169" i="3"/>
  <c r="B169" i="3"/>
  <c r="C169" i="3"/>
  <c r="D169" i="3"/>
  <c r="A172" i="3"/>
  <c r="B172" i="3"/>
  <c r="C172" i="3"/>
  <c r="D172" i="3"/>
  <c r="A175" i="3"/>
  <c r="B175" i="3"/>
  <c r="C175" i="3"/>
  <c r="D175" i="3"/>
  <c r="E176" i="3"/>
  <c r="A178" i="3"/>
  <c r="A184" i="3"/>
  <c r="B184" i="3"/>
  <c r="C184" i="3"/>
  <c r="D184" i="3"/>
  <c r="F185" i="3"/>
  <c r="G185" i="3" s="1"/>
  <c r="H185" i="3" s="1"/>
  <c r="I185" i="3" s="1"/>
  <c r="A187" i="3"/>
  <c r="B187" i="3"/>
  <c r="C187" i="3"/>
  <c r="D187" i="3"/>
  <c r="A190" i="3"/>
  <c r="B190" i="3"/>
  <c r="C190" i="3"/>
  <c r="D190" i="3"/>
  <c r="F191" i="3"/>
  <c r="G191" i="3" s="1"/>
  <c r="H191" i="3" s="1"/>
  <c r="I191" i="3" s="1"/>
  <c r="A193" i="3"/>
  <c r="B193" i="3"/>
  <c r="C193" i="3"/>
  <c r="D193" i="3"/>
  <c r="E193" i="3" s="1"/>
  <c r="F194" i="3"/>
  <c r="G194" i="3" s="1"/>
  <c r="H194" i="3" s="1"/>
  <c r="I194" i="3" s="1"/>
  <c r="A196" i="3"/>
  <c r="C196" i="3"/>
  <c r="D196" i="3"/>
  <c r="A199" i="3"/>
  <c r="C199" i="3"/>
  <c r="D199" i="3"/>
  <c r="A202" i="3"/>
  <c r="B202" i="3"/>
  <c r="C202" i="3"/>
  <c r="D202" i="3"/>
  <c r="F203" i="3"/>
  <c r="G203" i="3" s="1"/>
  <c r="A205" i="3"/>
  <c r="B205" i="3"/>
  <c r="C205" i="3"/>
  <c r="D205" i="3"/>
  <c r="F206" i="3"/>
  <c r="A208" i="3"/>
  <c r="A211" i="3"/>
  <c r="F212" i="3"/>
  <c r="G212" i="3" s="1"/>
  <c r="H212" i="3" s="1"/>
  <c r="I212" i="3" s="1"/>
  <c r="A214" i="3"/>
  <c r="B214" i="3"/>
  <c r="C214" i="3"/>
  <c r="D214" i="3"/>
  <c r="A217" i="3"/>
  <c r="B217" i="3"/>
  <c r="C217" i="3"/>
  <c r="D217" i="3"/>
  <c r="A220" i="3"/>
  <c r="B220" i="3"/>
  <c r="C220" i="3"/>
  <c r="D220" i="3"/>
  <c r="F221" i="3"/>
  <c r="A223" i="3"/>
  <c r="B223" i="3"/>
  <c r="C223" i="3"/>
  <c r="D223" i="3"/>
  <c r="F224" i="3"/>
  <c r="G224" i="3" s="1"/>
  <c r="H224" i="3" s="1"/>
  <c r="I224" i="3" s="1"/>
  <c r="A226" i="3"/>
  <c r="A231" i="3"/>
  <c r="B231" i="3"/>
  <c r="C231" i="3"/>
  <c r="D231" i="3"/>
  <c r="F51" i="4" s="1"/>
  <c r="E231" i="3"/>
  <c r="F231" i="3" s="1"/>
  <c r="G232" i="3"/>
  <c r="H232" i="3" s="1"/>
  <c r="I232" i="3" s="1"/>
  <c r="A235" i="3"/>
  <c r="F236" i="3"/>
  <c r="G236" i="3" s="1"/>
  <c r="H236" i="3" s="1"/>
  <c r="I236" i="3" s="1"/>
  <c r="A238" i="3"/>
  <c r="B238" i="3"/>
  <c r="C238" i="3"/>
  <c r="D238" i="3"/>
  <c r="A241" i="3"/>
  <c r="B241" i="3"/>
  <c r="C241" i="3"/>
  <c r="D241" i="3"/>
  <c r="F241" i="3" s="1"/>
  <c r="F242" i="3"/>
  <c r="G242" i="3" s="1"/>
  <c r="H242" i="3" s="1"/>
  <c r="I242" i="3" s="1"/>
  <c r="A244" i="3"/>
  <c r="B244" i="3"/>
  <c r="C244" i="3"/>
  <c r="D244" i="3"/>
  <c r="A247" i="3"/>
  <c r="A250" i="3"/>
  <c r="B250" i="3"/>
  <c r="C250" i="3"/>
  <c r="D250" i="3"/>
  <c r="E270" i="4" s="1"/>
  <c r="A253" i="3"/>
  <c r="A256" i="3"/>
  <c r="D276" i="3"/>
  <c r="E276" i="3"/>
  <c r="F277" i="3"/>
  <c r="F276" i="3" s="1"/>
  <c r="A287" i="3"/>
  <c r="B287" i="3"/>
  <c r="A288" i="3"/>
  <c r="B288" i="3"/>
  <c r="E291" i="3"/>
  <c r="F291" i="3"/>
  <c r="G291" i="3"/>
  <c r="H291" i="3"/>
  <c r="I291" i="3"/>
  <c r="J291" i="3"/>
  <c r="A332" i="3"/>
  <c r="B332" i="3"/>
  <c r="A333" i="3"/>
  <c r="B333" i="3"/>
  <c r="B336" i="3"/>
  <c r="C336" i="3"/>
  <c r="D336" i="3"/>
  <c r="E336" i="3"/>
  <c r="F336" i="3"/>
  <c r="G336" i="3"/>
  <c r="H336" i="3"/>
  <c r="I336" i="3"/>
  <c r="J336" i="3"/>
  <c r="A1" i="2"/>
  <c r="A2" i="2"/>
  <c r="A9" i="2"/>
  <c r="B9" i="2"/>
  <c r="A10" i="2"/>
  <c r="B10" i="2"/>
  <c r="A14" i="2"/>
  <c r="A15" i="2"/>
  <c r="A16" i="2"/>
  <c r="B21" i="2"/>
  <c r="C21" i="2"/>
  <c r="D21" i="2"/>
  <c r="E21" i="2"/>
  <c r="F21" i="2"/>
  <c r="B56" i="2"/>
  <c r="C56" i="2"/>
  <c r="D56" i="2"/>
  <c r="E56" i="2"/>
  <c r="F56" i="2"/>
  <c r="B75" i="2"/>
  <c r="C75" i="2"/>
  <c r="D75" i="2"/>
  <c r="E75" i="2"/>
  <c r="F75" i="2"/>
  <c r="B83" i="2"/>
  <c r="B84" i="2" s="1"/>
  <c r="C83" i="2"/>
  <c r="C84" i="2" s="1"/>
  <c r="D83" i="2"/>
  <c r="B370" i="3" s="1"/>
  <c r="E83" i="2"/>
  <c r="F303" i="2" s="1"/>
  <c r="F83" i="2"/>
  <c r="D370" i="3" s="1"/>
  <c r="B85" i="2"/>
  <c r="B86" i="2" s="1"/>
  <c r="C85" i="2"/>
  <c r="C86" i="2" s="1"/>
  <c r="D85" i="2"/>
  <c r="E85" i="2"/>
  <c r="C371" i="3" s="1"/>
  <c r="F85" i="2"/>
  <c r="G304" i="2" s="1"/>
  <c r="B87" i="2"/>
  <c r="B88" i="2" s="1"/>
  <c r="C87" i="2"/>
  <c r="C88" i="2" s="1"/>
  <c r="D87" i="2"/>
  <c r="D88" i="2" s="1"/>
  <c r="E87" i="2"/>
  <c r="E88" i="2" s="1"/>
  <c r="F87" i="2"/>
  <c r="F88" i="2" s="1"/>
  <c r="B91" i="2"/>
  <c r="B92" i="2" s="1"/>
  <c r="C91" i="2"/>
  <c r="C92" i="2" s="1"/>
  <c r="D91" i="2"/>
  <c r="D92" i="2" s="1"/>
  <c r="E91" i="2"/>
  <c r="E92" i="2" s="1"/>
  <c r="F91" i="2"/>
  <c r="F92" i="2" s="1"/>
  <c r="B113" i="2"/>
  <c r="C113" i="2"/>
  <c r="D113" i="2"/>
  <c r="E113" i="2"/>
  <c r="F113" i="2"/>
  <c r="B122" i="2"/>
  <c r="C122" i="2"/>
  <c r="D122" i="2"/>
  <c r="E122" i="2"/>
  <c r="F122" i="2"/>
  <c r="A124" i="2"/>
  <c r="A303" i="2" s="1"/>
  <c r="B124" i="2"/>
  <c r="C124" i="2"/>
  <c r="D124" i="2"/>
  <c r="B303" i="2" s="1"/>
  <c r="E124" i="2"/>
  <c r="F124" i="2"/>
  <c r="D303" i="2" s="1"/>
  <c r="A125" i="2"/>
  <c r="A304" i="2" s="1"/>
  <c r="B125" i="2"/>
  <c r="C125" i="2"/>
  <c r="D125" i="2"/>
  <c r="B304" i="2" s="1"/>
  <c r="E125" i="2"/>
  <c r="C304" i="2" s="1"/>
  <c r="F125" i="2"/>
  <c r="D304" i="2" s="1"/>
  <c r="A126" i="2"/>
  <c r="A127" i="2"/>
  <c r="A306" i="2" s="1"/>
  <c r="B127" i="2"/>
  <c r="C127" i="2"/>
  <c r="D127" i="2"/>
  <c r="B306" i="2" s="1"/>
  <c r="E127" i="2"/>
  <c r="C306" i="2" s="1"/>
  <c r="F127" i="2"/>
  <c r="D306" i="2" s="1"/>
  <c r="A128" i="2"/>
  <c r="B128" i="2"/>
  <c r="C128" i="2"/>
  <c r="D128" i="2"/>
  <c r="E128" i="2"/>
  <c r="F128" i="2"/>
  <c r="A129" i="2"/>
  <c r="B129" i="2"/>
  <c r="C129" i="2"/>
  <c r="D129" i="2"/>
  <c r="E129" i="2"/>
  <c r="F129" i="2"/>
  <c r="A130" i="2"/>
  <c r="B130" i="2"/>
  <c r="C130" i="2"/>
  <c r="D130" i="2"/>
  <c r="E130" i="2"/>
  <c r="F130" i="2"/>
  <c r="A131" i="2"/>
  <c r="B131" i="2"/>
  <c r="C131" i="2"/>
  <c r="D131" i="2"/>
  <c r="E131" i="2"/>
  <c r="F131" i="2"/>
  <c r="A132" i="2"/>
  <c r="B132" i="2"/>
  <c r="C132" i="2"/>
  <c r="D132" i="2"/>
  <c r="E132" i="2"/>
  <c r="F132" i="2"/>
  <c r="A133" i="2"/>
  <c r="B133" i="2"/>
  <c r="C133" i="2"/>
  <c r="D133" i="2"/>
  <c r="E133" i="2"/>
  <c r="F133" i="2"/>
  <c r="A134" i="2"/>
  <c r="B134" i="2"/>
  <c r="C134" i="2"/>
  <c r="D134" i="2"/>
  <c r="E134" i="2"/>
  <c r="F134" i="2"/>
  <c r="A135" i="2"/>
  <c r="A307" i="2" s="1"/>
  <c r="A136" i="2"/>
  <c r="B136" i="2"/>
  <c r="C136" i="2"/>
  <c r="D136" i="2"/>
  <c r="E136" i="2"/>
  <c r="F136" i="2"/>
  <c r="A137" i="2"/>
  <c r="A138" i="2"/>
  <c r="B138" i="2"/>
  <c r="C138" i="2"/>
  <c r="D138" i="2"/>
  <c r="E138" i="2"/>
  <c r="F138" i="2"/>
  <c r="A139" i="2"/>
  <c r="B139" i="2"/>
  <c r="C139" i="2"/>
  <c r="D139" i="2"/>
  <c r="E139" i="2"/>
  <c r="F139" i="2"/>
  <c r="A140" i="2"/>
  <c r="A308" i="2" s="1"/>
  <c r="A141" i="2"/>
  <c r="A309" i="2" s="1"/>
  <c r="B141" i="2"/>
  <c r="C141" i="2"/>
  <c r="D141" i="2"/>
  <c r="B309" i="2" s="1"/>
  <c r="E141" i="2"/>
  <c r="C309" i="2" s="1"/>
  <c r="F141" i="2"/>
  <c r="D309" i="2" s="1"/>
  <c r="A142" i="2"/>
  <c r="B142" i="2"/>
  <c r="C142" i="2"/>
  <c r="D142" i="2"/>
  <c r="E142" i="2"/>
  <c r="F142" i="2"/>
  <c r="A143" i="2"/>
  <c r="B143" i="2"/>
  <c r="C143" i="2"/>
  <c r="D143" i="2"/>
  <c r="E143" i="2"/>
  <c r="F143" i="2"/>
  <c r="A144" i="2"/>
  <c r="B144" i="2"/>
  <c r="C144" i="2"/>
  <c r="D144" i="2"/>
  <c r="E144" i="2"/>
  <c r="F144" i="2"/>
  <c r="A145" i="2"/>
  <c r="A146" i="2"/>
  <c r="B146" i="2"/>
  <c r="C146" i="2"/>
  <c r="D146" i="2"/>
  <c r="E146" i="2"/>
  <c r="F146" i="2"/>
  <c r="A147" i="2"/>
  <c r="A149" i="2"/>
  <c r="B149" i="2"/>
  <c r="C149" i="2"/>
  <c r="D149" i="2"/>
  <c r="E149" i="2"/>
  <c r="F149" i="2"/>
  <c r="A150" i="2"/>
  <c r="B154" i="2"/>
  <c r="C154" i="2"/>
  <c r="D154" i="2"/>
  <c r="E154" i="2"/>
  <c r="F154" i="2"/>
  <c r="A158" i="2"/>
  <c r="B158" i="2"/>
  <c r="C158" i="2"/>
  <c r="D158" i="2"/>
  <c r="B339" i="3" s="1"/>
  <c r="E158" i="2"/>
  <c r="C339" i="3" s="1"/>
  <c r="F158" i="2"/>
  <c r="D339" i="3" s="1"/>
  <c r="A159" i="2"/>
  <c r="B159" i="2"/>
  <c r="C159" i="2"/>
  <c r="D159" i="2"/>
  <c r="E159" i="2"/>
  <c r="F159" i="2"/>
  <c r="G159" i="2"/>
  <c r="A160" i="2"/>
  <c r="A161" i="2"/>
  <c r="B161" i="2"/>
  <c r="C161" i="2"/>
  <c r="D161" i="2"/>
  <c r="E161" i="2"/>
  <c r="F161" i="2"/>
  <c r="G161" i="2"/>
  <c r="A162" i="2"/>
  <c r="B162" i="2"/>
  <c r="C162" i="2"/>
  <c r="D162" i="2"/>
  <c r="E162" i="2"/>
  <c r="F162" i="2"/>
  <c r="G162" i="2"/>
  <c r="A163" i="2"/>
  <c r="B163" i="2"/>
  <c r="C163" i="2"/>
  <c r="D163" i="2"/>
  <c r="E163" i="2"/>
  <c r="F163" i="2"/>
  <c r="G163" i="2"/>
  <c r="A164" i="2"/>
  <c r="B164" i="2"/>
  <c r="C164" i="2"/>
  <c r="D164" i="2"/>
  <c r="E164" i="2"/>
  <c r="F164" i="2"/>
  <c r="G164" i="2"/>
  <c r="A165" i="2"/>
  <c r="B165" i="2"/>
  <c r="C165" i="2"/>
  <c r="D165" i="2"/>
  <c r="E165" i="2"/>
  <c r="F165" i="2"/>
  <c r="G165" i="2"/>
  <c r="A166" i="2"/>
  <c r="B166" i="2"/>
  <c r="C166" i="2"/>
  <c r="D166" i="2"/>
  <c r="E166" i="2"/>
  <c r="F166" i="2"/>
  <c r="G166" i="2"/>
  <c r="A167" i="2"/>
  <c r="B167" i="2"/>
  <c r="C167" i="2"/>
  <c r="D167" i="2"/>
  <c r="E167" i="2"/>
  <c r="F167" i="2"/>
  <c r="G167" i="2"/>
  <c r="A168" i="2"/>
  <c r="B168" i="2"/>
  <c r="C168" i="2"/>
  <c r="D168" i="2"/>
  <c r="E168" i="2"/>
  <c r="F168" i="2"/>
  <c r="G168" i="2"/>
  <c r="A169" i="2"/>
  <c r="A170" i="2"/>
  <c r="B170" i="2"/>
  <c r="C170" i="2"/>
  <c r="D170" i="2"/>
  <c r="E170" i="2"/>
  <c r="F170" i="2"/>
  <c r="G170" i="2"/>
  <c r="A171" i="2"/>
  <c r="A172" i="2"/>
  <c r="B172" i="2"/>
  <c r="C172" i="2"/>
  <c r="D172" i="2"/>
  <c r="E172" i="2"/>
  <c r="F172" i="2"/>
  <c r="G172" i="2"/>
  <c r="A173" i="2"/>
  <c r="B173" i="2"/>
  <c r="C173" i="2"/>
  <c r="D173" i="2"/>
  <c r="E173" i="2"/>
  <c r="F173" i="2"/>
  <c r="G173" i="2"/>
  <c r="A174" i="2"/>
  <c r="A175" i="2"/>
  <c r="B175" i="2"/>
  <c r="C175" i="2"/>
  <c r="D175" i="2"/>
  <c r="E175" i="2"/>
  <c r="F175" i="2"/>
  <c r="G175" i="2"/>
  <c r="A176" i="2"/>
  <c r="B176" i="2"/>
  <c r="C176" i="2"/>
  <c r="D176" i="2"/>
  <c r="E176" i="2"/>
  <c r="F176" i="2"/>
  <c r="G176" i="2"/>
  <c r="A177" i="2"/>
  <c r="B177" i="2"/>
  <c r="C177" i="2"/>
  <c r="D177" i="2"/>
  <c r="E177" i="2"/>
  <c r="F177" i="2"/>
  <c r="G177" i="2"/>
  <c r="A178" i="2"/>
  <c r="B178" i="2"/>
  <c r="C178" i="2"/>
  <c r="D178" i="2"/>
  <c r="E178" i="2"/>
  <c r="F178" i="2"/>
  <c r="G178" i="2"/>
  <c r="A179" i="2"/>
  <c r="A180" i="2"/>
  <c r="B180" i="2"/>
  <c r="C180" i="2"/>
  <c r="D180" i="2"/>
  <c r="E180" i="2"/>
  <c r="F180" i="2"/>
  <c r="G180" i="2"/>
  <c r="A181" i="2"/>
  <c r="A183" i="2"/>
  <c r="B183" i="2"/>
  <c r="C183" i="2"/>
  <c r="D183" i="2"/>
  <c r="E183" i="2"/>
  <c r="F183" i="2"/>
  <c r="G183" i="2"/>
  <c r="A184" i="2"/>
  <c r="B189" i="2"/>
  <c r="C189" i="2"/>
  <c r="D189" i="2"/>
  <c r="E189" i="2"/>
  <c r="F189" i="2"/>
  <c r="A191" i="2"/>
  <c r="A192" i="2"/>
  <c r="A193" i="2"/>
  <c r="A194" i="2"/>
  <c r="A195" i="2"/>
  <c r="A196" i="2"/>
  <c r="A197" i="2"/>
  <c r="A198" i="2"/>
  <c r="A199" i="2"/>
  <c r="A200" i="2"/>
  <c r="A201" i="2"/>
  <c r="A202" i="2"/>
  <c r="A204" i="2"/>
  <c r="A205" i="2"/>
  <c r="A206" i="2"/>
  <c r="A207" i="2"/>
  <c r="A208" i="2"/>
  <c r="A209" i="2"/>
  <c r="A211" i="2"/>
  <c r="A212" i="2"/>
  <c r="A213" i="2"/>
  <c r="A214" i="2"/>
  <c r="A215" i="2"/>
  <c r="A216" i="2"/>
  <c r="A217" i="2"/>
  <c r="A218" i="2"/>
  <c r="A219" i="2"/>
  <c r="A220" i="2"/>
  <c r="A221" i="2"/>
  <c r="A222" i="2"/>
  <c r="A223" i="2"/>
  <c r="A224" i="2"/>
  <c r="A225" i="2"/>
  <c r="A226" i="2"/>
  <c r="A228" i="2"/>
  <c r="A229" i="2"/>
  <c r="A230" i="2"/>
  <c r="A231" i="2"/>
  <c r="A232" i="2"/>
  <c r="A233" i="2"/>
  <c r="A234" i="2"/>
  <c r="A235" i="2"/>
  <c r="A236" i="2"/>
  <c r="B240" i="2"/>
  <c r="C240" i="2"/>
  <c r="D240" i="2"/>
  <c r="E240" i="2"/>
  <c r="F240" i="2"/>
  <c r="A243" i="2"/>
  <c r="A244" i="2"/>
  <c r="B244" i="2"/>
  <c r="C244" i="2"/>
  <c r="D244" i="2"/>
  <c r="E244" i="2"/>
  <c r="F244" i="2"/>
  <c r="G244" i="2"/>
  <c r="A245" i="2"/>
  <c r="B245" i="2"/>
  <c r="C245" i="2"/>
  <c r="D245" i="2"/>
  <c r="E245" i="2"/>
  <c r="F245" i="2"/>
  <c r="G245" i="2"/>
  <c r="A246" i="2"/>
  <c r="B246" i="2"/>
  <c r="C246" i="2"/>
  <c r="D246" i="2"/>
  <c r="E246" i="2"/>
  <c r="F246" i="2"/>
  <c r="G246" i="2"/>
  <c r="A247" i="2"/>
  <c r="B247" i="2"/>
  <c r="C247" i="2"/>
  <c r="D247" i="2"/>
  <c r="E247" i="2"/>
  <c r="F247" i="2"/>
  <c r="G247" i="2"/>
  <c r="A248" i="2"/>
  <c r="B248" i="2"/>
  <c r="C248" i="2"/>
  <c r="D248" i="2"/>
  <c r="E248" i="2"/>
  <c r="F248" i="2"/>
  <c r="G248" i="2"/>
  <c r="A249" i="2"/>
  <c r="B249" i="2"/>
  <c r="C249" i="2"/>
  <c r="D249" i="2"/>
  <c r="E249" i="2"/>
  <c r="F249" i="2"/>
  <c r="G249" i="2"/>
  <c r="A250" i="2"/>
  <c r="B250" i="2"/>
  <c r="C250" i="2"/>
  <c r="D250" i="2"/>
  <c r="E250" i="2"/>
  <c r="F250" i="2"/>
  <c r="G250" i="2"/>
  <c r="A251" i="2"/>
  <c r="A252" i="2"/>
  <c r="B252" i="2"/>
  <c r="C252" i="2"/>
  <c r="D252" i="2"/>
  <c r="E252" i="2"/>
  <c r="F252" i="2"/>
  <c r="G252" i="2"/>
  <c r="A253" i="2"/>
  <c r="A254" i="2"/>
  <c r="A256" i="2"/>
  <c r="A257" i="2"/>
  <c r="A258" i="2"/>
  <c r="A259" i="2"/>
  <c r="A260" i="2"/>
  <c r="A261" i="2"/>
  <c r="A263" i="2"/>
  <c r="B263" i="2"/>
  <c r="C263" i="2"/>
  <c r="D263" i="2"/>
  <c r="E263" i="2"/>
  <c r="F263" i="2"/>
  <c r="G263" i="2"/>
  <c r="A264" i="2"/>
  <c r="B264" i="2"/>
  <c r="C264" i="2"/>
  <c r="D264" i="2"/>
  <c r="E264" i="2"/>
  <c r="F264" i="2"/>
  <c r="G264" i="2"/>
  <c r="A265" i="2"/>
  <c r="B265" i="2"/>
  <c r="C265" i="2"/>
  <c r="D265" i="2"/>
  <c r="E265" i="2"/>
  <c r="F265" i="2"/>
  <c r="G265" i="2"/>
  <c r="A266" i="2"/>
  <c r="B266" i="2"/>
  <c r="C266" i="2"/>
  <c r="D266" i="2"/>
  <c r="E266" i="2"/>
  <c r="F266" i="2"/>
  <c r="G266" i="2"/>
  <c r="A267" i="2"/>
  <c r="E267" i="2"/>
  <c r="F267" i="2"/>
  <c r="A268" i="2"/>
  <c r="B268" i="2"/>
  <c r="C268" i="2"/>
  <c r="D268" i="2"/>
  <c r="E268" i="2"/>
  <c r="F268" i="2"/>
  <c r="G268" i="2"/>
  <c r="A269" i="2"/>
  <c r="B269" i="2"/>
  <c r="C269" i="2"/>
  <c r="D269" i="2"/>
  <c r="E269" i="2"/>
  <c r="F269" i="2"/>
  <c r="G269" i="2"/>
  <c r="A270" i="2"/>
  <c r="B270" i="2"/>
  <c r="C270" i="2"/>
  <c r="D270" i="2"/>
  <c r="E270" i="2"/>
  <c r="F270" i="2"/>
  <c r="G270" i="2"/>
  <c r="A271" i="2"/>
  <c r="B271" i="2"/>
  <c r="C271" i="2"/>
  <c r="D271" i="2"/>
  <c r="E271" i="2"/>
  <c r="F271" i="2"/>
  <c r="G271" i="2"/>
  <c r="A272" i="2"/>
  <c r="A273" i="2"/>
  <c r="A274" i="2"/>
  <c r="B274" i="2"/>
  <c r="C274" i="2"/>
  <c r="D274" i="2"/>
  <c r="E274" i="2"/>
  <c r="F274" i="2"/>
  <c r="G274" i="2"/>
  <c r="A275" i="2"/>
  <c r="B275" i="2"/>
  <c r="C275" i="2"/>
  <c r="D275" i="2"/>
  <c r="E275" i="2"/>
  <c r="F275" i="2"/>
  <c r="G275" i="2"/>
  <c r="A276" i="2"/>
  <c r="B276" i="2"/>
  <c r="C276" i="2"/>
  <c r="D276" i="2"/>
  <c r="E276" i="2"/>
  <c r="F276" i="2"/>
  <c r="G276" i="2"/>
  <c r="A277" i="2"/>
  <c r="B277" i="2"/>
  <c r="C277" i="2"/>
  <c r="D277" i="2"/>
  <c r="E277" i="2"/>
  <c r="F277" i="2"/>
  <c r="G277" i="2"/>
  <c r="A278" i="2"/>
  <c r="A280" i="2"/>
  <c r="B280" i="2"/>
  <c r="C280" i="2"/>
  <c r="D280" i="2"/>
  <c r="E280" i="2"/>
  <c r="F280" i="2"/>
  <c r="G280" i="2"/>
  <c r="A281" i="2"/>
  <c r="A282" i="2"/>
  <c r="B282" i="2"/>
  <c r="C282" i="2"/>
  <c r="D282" i="2"/>
  <c r="E282" i="2"/>
  <c r="F282" i="2"/>
  <c r="G282" i="2"/>
  <c r="A283" i="2"/>
  <c r="B283" i="2"/>
  <c r="C283" i="2"/>
  <c r="D283" i="2"/>
  <c r="E283" i="2"/>
  <c r="F283" i="2"/>
  <c r="G283" i="2"/>
  <c r="A284" i="2"/>
  <c r="B284" i="2"/>
  <c r="C284" i="2"/>
  <c r="D284" i="2"/>
  <c r="E284" i="2"/>
  <c r="F284" i="2"/>
  <c r="G284" i="2"/>
  <c r="A285" i="2"/>
  <c r="A286" i="2"/>
  <c r="B286" i="2"/>
  <c r="C286" i="2"/>
  <c r="D286" i="2"/>
  <c r="E286" i="2"/>
  <c r="F286" i="2"/>
  <c r="G286" i="2"/>
  <c r="A287" i="2"/>
  <c r="A288" i="2"/>
  <c r="C295" i="2"/>
  <c r="B317" i="2" s="1"/>
  <c r="B320" i="2" s="1"/>
  <c r="D295" i="2"/>
  <c r="C330" i="2" s="1"/>
  <c r="E295" i="2"/>
  <c r="D317" i="2" s="1"/>
  <c r="D320" i="2" s="1"/>
  <c r="C303" i="2"/>
  <c r="A305" i="2"/>
  <c r="B334" i="2"/>
  <c r="C334" i="2"/>
  <c r="D334" i="2"/>
  <c r="B357" i="2"/>
  <c r="C357" i="2"/>
  <c r="D357" i="2"/>
  <c r="E357" i="2"/>
  <c r="F357" i="2"/>
  <c r="A360" i="2"/>
  <c r="A361" i="2"/>
  <c r="B361" i="2"/>
  <c r="C361" i="2"/>
  <c r="D361" i="2"/>
  <c r="E361" i="2"/>
  <c r="F361" i="2"/>
  <c r="B362" i="2"/>
  <c r="C362" i="2"/>
  <c r="D362" i="2"/>
  <c r="E362" i="2"/>
  <c r="F362" i="2"/>
  <c r="B363" i="2"/>
  <c r="C363" i="2"/>
  <c r="D363" i="2"/>
  <c r="E363" i="2"/>
  <c r="F363" i="2"/>
  <c r="A364" i="2"/>
  <c r="B367" i="2"/>
  <c r="C367" i="2"/>
  <c r="D367" i="2"/>
  <c r="E367" i="2"/>
  <c r="F367" i="2"/>
  <c r="B368" i="2"/>
  <c r="C368" i="2"/>
  <c r="D368" i="2"/>
  <c r="E368" i="2"/>
  <c r="F368" i="2"/>
  <c r="B369" i="2"/>
  <c r="D369" i="2"/>
  <c r="A370" i="2"/>
  <c r="B375" i="2"/>
  <c r="C375" i="2"/>
  <c r="D375" i="2"/>
  <c r="E375" i="2"/>
  <c r="F375" i="2"/>
  <c r="B376" i="2"/>
  <c r="C376" i="2"/>
  <c r="D376" i="2"/>
  <c r="E376" i="2"/>
  <c r="F376" i="2"/>
  <c r="B377" i="2"/>
  <c r="A378" i="2"/>
  <c r="A380" i="2"/>
  <c r="B380" i="2"/>
  <c r="C380" i="2"/>
  <c r="D380" i="2"/>
  <c r="E380" i="2"/>
  <c r="F380" i="2"/>
  <c r="A381" i="2"/>
  <c r="C23" i="1"/>
  <c r="D23" i="1"/>
  <c r="E23" i="1"/>
  <c r="F23" i="1"/>
  <c r="G23" i="1"/>
  <c r="G251" i="2" s="1"/>
  <c r="B42" i="5"/>
  <c r="C154" i="3"/>
  <c r="E44" i="1"/>
  <c r="F44" i="1"/>
  <c r="E79" i="2" s="1"/>
  <c r="C376" i="3" s="1"/>
  <c r="G44" i="1"/>
  <c r="F79" i="2" s="1"/>
  <c r="D376" i="3" s="1"/>
  <c r="B273" i="2"/>
  <c r="C211" i="3"/>
  <c r="B235" i="3"/>
  <c r="C235" i="3"/>
  <c r="G57" i="1"/>
  <c r="G59" i="1" s="1"/>
  <c r="D57" i="1"/>
  <c r="C115" i="2" s="1"/>
  <c r="C63" i="1"/>
  <c r="D63" i="1"/>
  <c r="E63" i="1"/>
  <c r="F63" i="1"/>
  <c r="G63" i="1"/>
  <c r="C67" i="1"/>
  <c r="C77" i="1" s="1"/>
  <c r="D67" i="1"/>
  <c r="E67" i="1"/>
  <c r="E77" i="1" s="1"/>
  <c r="D135" i="2" s="1"/>
  <c r="B307" i="2" s="1"/>
  <c r="F67" i="1"/>
  <c r="F77" i="1" s="1"/>
  <c r="G67" i="1"/>
  <c r="C137" i="2"/>
  <c r="E137" i="2"/>
  <c r="D68" i="3"/>
  <c r="C97" i="1"/>
  <c r="D97" i="1"/>
  <c r="E97" i="1"/>
  <c r="F97" i="1"/>
  <c r="G97" i="1"/>
  <c r="C369" i="2"/>
  <c r="E369" i="2"/>
  <c r="F369" i="2"/>
  <c r="C123" i="1"/>
  <c r="E123" i="1"/>
  <c r="B374" i="2"/>
  <c r="C374" i="2"/>
  <c r="D374" i="2"/>
  <c r="E374" i="2"/>
  <c r="F374" i="2"/>
  <c r="C377" i="2"/>
  <c r="D377" i="2"/>
  <c r="E377" i="2"/>
  <c r="C140" i="1"/>
  <c r="D140" i="1"/>
  <c r="E140" i="1"/>
  <c r="F140" i="1"/>
  <c r="G140" i="1"/>
  <c r="B118" i="2"/>
  <c r="C112" i="2"/>
  <c r="D118" i="2"/>
  <c r="E112" i="2"/>
  <c r="F112" i="2"/>
  <c r="C47" i="5"/>
  <c r="C273" i="2"/>
  <c r="G267" i="2"/>
  <c r="F137" i="2"/>
  <c r="B137" i="2"/>
  <c r="D47" i="5"/>
  <c r="E45" i="5" s="1"/>
  <c r="D157" i="3"/>
  <c r="B47" i="5"/>
  <c r="B157" i="3"/>
  <c r="D154" i="3"/>
  <c r="B154" i="3"/>
  <c r="D123" i="1"/>
  <c r="F273" i="2"/>
  <c r="D171" i="2"/>
  <c r="C68" i="3"/>
  <c r="C171" i="2"/>
  <c r="B68" i="3"/>
  <c r="B211" i="3"/>
  <c r="G41" i="5"/>
  <c r="D59" i="5"/>
  <c r="H59" i="5" s="1"/>
  <c r="B171" i="2"/>
  <c r="E93" i="4"/>
  <c r="F57" i="5"/>
  <c r="G57" i="5"/>
  <c r="G59" i="5"/>
  <c r="F113" i="4"/>
  <c r="G206" i="3" l="1"/>
  <c r="H57" i="5"/>
  <c r="E57" i="5"/>
  <c r="E62" i="5" s="1"/>
  <c r="E46" i="5" s="1"/>
  <c r="E47" i="5" s="1"/>
  <c r="H41" i="5"/>
  <c r="I30" i="5"/>
  <c r="D60" i="5"/>
  <c r="I59" i="5"/>
  <c r="F45" i="4"/>
  <c r="E269" i="4" s="1"/>
  <c r="B41" i="3"/>
  <c r="B75" i="3"/>
  <c r="I57" i="5"/>
  <c r="D41" i="3"/>
  <c r="D75" i="3"/>
  <c r="G160" i="2"/>
  <c r="G77" i="1"/>
  <c r="G83" i="1" s="1"/>
  <c r="G143" i="1" s="1"/>
  <c r="J120" i="3"/>
  <c r="E241" i="4"/>
  <c r="E180" i="4"/>
  <c r="E123" i="4"/>
  <c r="C44" i="3"/>
  <c r="C41" i="3"/>
  <c r="E55" i="3"/>
  <c r="D44" i="3"/>
  <c r="E44" i="3" s="1"/>
  <c r="F44" i="3" s="1"/>
  <c r="G44" i="3" s="1"/>
  <c r="H44" i="3" s="1"/>
  <c r="I44" i="3" s="1"/>
  <c r="B22" i="3"/>
  <c r="B44" i="3"/>
  <c r="D54" i="3"/>
  <c r="D67" i="3"/>
  <c r="F167" i="3"/>
  <c r="F176" i="3"/>
  <c r="D318" i="3"/>
  <c r="C318" i="3"/>
  <c r="F251" i="2"/>
  <c r="C319" i="3"/>
  <c r="C312" i="3"/>
  <c r="D313" i="3"/>
  <c r="D319" i="3"/>
  <c r="B88" i="1"/>
  <c r="S95" i="1"/>
  <c r="D78" i="2"/>
  <c r="B375" i="3" s="1"/>
  <c r="E190" i="3"/>
  <c r="D310" i="3"/>
  <c r="C320" i="3"/>
  <c r="C60" i="3"/>
  <c r="E166" i="3"/>
  <c r="E311" i="3" s="1"/>
  <c r="G221" i="3"/>
  <c r="C310" i="3"/>
  <c r="F56" i="4"/>
  <c r="D324" i="3"/>
  <c r="C132" i="3"/>
  <c r="D312" i="3"/>
  <c r="D168" i="3"/>
  <c r="D311" i="3"/>
  <c r="C311" i="3"/>
  <c r="C313" i="3"/>
  <c r="C177" i="3"/>
  <c r="E296" i="3"/>
  <c r="C124" i="3"/>
  <c r="D26" i="3"/>
  <c r="C59" i="3"/>
  <c r="C54" i="3"/>
  <c r="C33" i="3"/>
  <c r="F298" i="3"/>
  <c r="D85" i="3"/>
  <c r="C88" i="3"/>
  <c r="C246" i="3"/>
  <c r="C233" i="3"/>
  <c r="C141" i="3"/>
  <c r="C36" i="3"/>
  <c r="C147" i="3"/>
  <c r="B91" i="3"/>
  <c r="D201" i="3"/>
  <c r="B72" i="3"/>
  <c r="D48" i="3"/>
  <c r="G231" i="3"/>
  <c r="H231" i="3" s="1"/>
  <c r="I231" i="3" s="1"/>
  <c r="C48" i="3"/>
  <c r="D186" i="3"/>
  <c r="D141" i="3"/>
  <c r="D95" i="3"/>
  <c r="B27" i="3"/>
  <c r="F134" i="3"/>
  <c r="C32" i="3"/>
  <c r="D219" i="3"/>
  <c r="D39" i="3"/>
  <c r="D195" i="3"/>
  <c r="C195" i="3"/>
  <c r="D148" i="3"/>
  <c r="D178" i="3" s="1"/>
  <c r="D161" i="3" s="1"/>
  <c r="C95" i="3"/>
  <c r="D101" i="3"/>
  <c r="D129" i="3"/>
  <c r="C148" i="3"/>
  <c r="C25" i="3"/>
  <c r="B148" i="3"/>
  <c r="B178" i="3" s="1"/>
  <c r="B161" i="3" s="1"/>
  <c r="C53" i="3"/>
  <c r="D322" i="3"/>
  <c r="D132" i="3"/>
  <c r="B53" i="3"/>
  <c r="E80" i="4"/>
  <c r="C171" i="3"/>
  <c r="C192" i="3"/>
  <c r="E175" i="3"/>
  <c r="C168" i="3"/>
  <c r="C207" i="3"/>
  <c r="C38" i="3"/>
  <c r="F142" i="3"/>
  <c r="G142" i="3" s="1"/>
  <c r="C135" i="3"/>
  <c r="D51" i="3"/>
  <c r="G277" i="3"/>
  <c r="D144" i="3"/>
  <c r="C189" i="3"/>
  <c r="D33" i="3"/>
  <c r="D233" i="3"/>
  <c r="B69" i="3"/>
  <c r="C26" i="3"/>
  <c r="D57" i="3"/>
  <c r="C22" i="3"/>
  <c r="C78" i="3"/>
  <c r="D240" i="3"/>
  <c r="C101" i="3"/>
  <c r="D198" i="3"/>
  <c r="D60" i="3"/>
  <c r="C35" i="3"/>
  <c r="C94" i="3"/>
  <c r="C153" i="3"/>
  <c r="C291" i="3"/>
  <c r="C51" i="3"/>
  <c r="D153" i="3"/>
  <c r="C27" i="3"/>
  <c r="C85" i="3"/>
  <c r="C247" i="3"/>
  <c r="C253" i="3" s="1"/>
  <c r="D204" i="3"/>
  <c r="C67" i="3"/>
  <c r="E299" i="3"/>
  <c r="D135" i="3"/>
  <c r="D371" i="3"/>
  <c r="F86" i="2"/>
  <c r="D59" i="1"/>
  <c r="C98" i="2" s="1"/>
  <c r="C251" i="2"/>
  <c r="D251" i="2"/>
  <c r="B378" i="2"/>
  <c r="C370" i="2"/>
  <c r="C61" i="2"/>
  <c r="B64" i="2"/>
  <c r="E50" i="1"/>
  <c r="D79" i="2"/>
  <c r="B376" i="3" s="1"/>
  <c r="C198" i="3"/>
  <c r="C116" i="2"/>
  <c r="D112" i="2"/>
  <c r="D378" i="2"/>
  <c r="C30" i="5"/>
  <c r="C33" i="5" s="1"/>
  <c r="C324" i="3"/>
  <c r="C70" i="3"/>
  <c r="B85" i="3"/>
  <c r="E84" i="2"/>
  <c r="C370" i="3"/>
  <c r="C56" i="3"/>
  <c r="D88" i="3"/>
  <c r="D59" i="3"/>
  <c r="D35" i="3"/>
  <c r="F35" i="3" s="1"/>
  <c r="G35" i="3" s="1"/>
  <c r="H35" i="3" s="1"/>
  <c r="I35" i="3" s="1"/>
  <c r="D94" i="3"/>
  <c r="D22" i="3"/>
  <c r="D107" i="3"/>
  <c r="D53" i="3"/>
  <c r="D47" i="3"/>
  <c r="D91" i="3"/>
  <c r="F64" i="2"/>
  <c r="C252" i="3"/>
  <c r="G241" i="3"/>
  <c r="F321" i="3"/>
  <c r="E321" i="3"/>
  <c r="G50" i="1"/>
  <c r="G60" i="1" s="1"/>
  <c r="D316" i="3"/>
  <c r="C316" i="3"/>
  <c r="D189" i="3"/>
  <c r="F130" i="3"/>
  <c r="C156" i="3"/>
  <c r="D308" i="3"/>
  <c r="C86" i="3"/>
  <c r="D42" i="5"/>
  <c r="D53" i="5" s="1"/>
  <c r="G273" i="2"/>
  <c r="D207" i="3"/>
  <c r="F78" i="2"/>
  <c r="D375" i="3" s="1"/>
  <c r="C89" i="2"/>
  <c r="C144" i="3"/>
  <c r="C107" i="3"/>
  <c r="D116" i="2"/>
  <c r="D84" i="2"/>
  <c r="E378" i="2"/>
  <c r="F57" i="1"/>
  <c r="D339" i="2" s="1"/>
  <c r="D347" i="2" s="1"/>
  <c r="C57" i="3"/>
  <c r="D156" i="3"/>
  <c r="C91" i="3"/>
  <c r="D222" i="3"/>
  <c r="C186" i="3"/>
  <c r="C47" i="3"/>
  <c r="E126" i="2"/>
  <c r="C305" i="2" s="1"/>
  <c r="E46" i="2"/>
  <c r="C366" i="3" s="1"/>
  <c r="B46" i="2"/>
  <c r="D108" i="3"/>
  <c r="E171" i="2"/>
  <c r="C222" i="3"/>
  <c r="D78" i="3"/>
  <c r="D32" i="3"/>
  <c r="D216" i="3"/>
  <c r="C33" i="1"/>
  <c r="D211" i="3"/>
  <c r="D317" i="3" s="1"/>
  <c r="C160" i="2"/>
  <c r="D61" i="2"/>
  <c r="D246" i="3"/>
  <c r="C204" i="3"/>
  <c r="B126" i="2"/>
  <c r="F61" i="2"/>
  <c r="C100" i="3"/>
  <c r="B32" i="3"/>
  <c r="D36" i="3"/>
  <c r="B61" i="2"/>
  <c r="G171" i="2"/>
  <c r="F171" i="2"/>
  <c r="E132" i="1"/>
  <c r="B160" i="2"/>
  <c r="G281" i="2"/>
  <c r="C219" i="3"/>
  <c r="D89" i="3"/>
  <c r="C69" i="3"/>
  <c r="C42" i="5"/>
  <c r="C49" i="5" s="1"/>
  <c r="F160" i="2"/>
  <c r="F370" i="2"/>
  <c r="C208" i="3"/>
  <c r="C226" i="3" s="1"/>
  <c r="C50" i="3"/>
  <c r="F80" i="4"/>
  <c r="F322" i="3"/>
  <c r="B49" i="5"/>
  <c r="B66" i="5"/>
  <c r="E322" i="3"/>
  <c r="G272" i="2"/>
  <c r="D27" i="3"/>
  <c r="D61" i="3" s="1"/>
  <c r="D80" i="3" s="1"/>
  <c r="C118" i="2"/>
  <c r="F272" i="2"/>
  <c r="D46" i="2"/>
  <c r="B366" i="3" s="1"/>
  <c r="D77" i="1"/>
  <c r="D62" i="2" s="1"/>
  <c r="D370" i="2"/>
  <c r="B107" i="3"/>
  <c r="D38" i="3"/>
  <c r="E33" i="1"/>
  <c r="D177" i="3"/>
  <c r="D56" i="3"/>
  <c r="F84" i="2"/>
  <c r="D126" i="2"/>
  <c r="B305" i="2" s="1"/>
  <c r="E273" i="2"/>
  <c r="F46" i="2"/>
  <c r="D366" i="3" s="1"/>
  <c r="C322" i="3"/>
  <c r="B112" i="2"/>
  <c r="B370" i="2"/>
  <c r="D252" i="3"/>
  <c r="C240" i="3"/>
  <c r="B251" i="2"/>
  <c r="C44" i="1"/>
  <c r="B79" i="2" s="1"/>
  <c r="D49" i="5"/>
  <c r="D54" i="5" s="1"/>
  <c r="E272" i="2"/>
  <c r="F126" i="2"/>
  <c r="D305" i="2" s="1"/>
  <c r="B19" i="5"/>
  <c r="B26" i="5" s="1"/>
  <c r="B39" i="5" s="1"/>
  <c r="B64" i="5" s="1"/>
  <c r="B267" i="2"/>
  <c r="F90" i="2"/>
  <c r="D50" i="3"/>
  <c r="D86" i="3"/>
  <c r="E116" i="2"/>
  <c r="F116" i="2"/>
  <c r="D273" i="2"/>
  <c r="D137" i="2"/>
  <c r="F281" i="2"/>
  <c r="C89" i="3"/>
  <c r="C132" i="1"/>
  <c r="F50" i="1"/>
  <c r="E303" i="2"/>
  <c r="D124" i="3"/>
  <c r="D281" i="2"/>
  <c r="D192" i="3"/>
  <c r="E118" i="2"/>
  <c r="F118" i="2"/>
  <c r="C46" i="2"/>
  <c r="C92" i="3"/>
  <c r="C66" i="3"/>
  <c r="B50" i="3"/>
  <c r="C378" i="2"/>
  <c r="C126" i="2"/>
  <c r="E281" i="2"/>
  <c r="C64" i="2"/>
  <c r="D79" i="3"/>
  <c r="C108" i="3"/>
  <c r="C317" i="3"/>
  <c r="C174" i="3"/>
  <c r="B100" i="3"/>
  <c r="D66" i="3"/>
  <c r="B35" i="3"/>
  <c r="F151" i="3"/>
  <c r="D208" i="3"/>
  <c r="D160" i="2"/>
  <c r="C157" i="3"/>
  <c r="D159" i="3" s="1"/>
  <c r="B88" i="3"/>
  <c r="F123" i="1"/>
  <c r="D23" i="3"/>
  <c r="B66" i="3"/>
  <c r="B56" i="3"/>
  <c r="D174" i="3"/>
  <c r="E61" i="2"/>
  <c r="B94" i="3"/>
  <c r="D132" i="1"/>
  <c r="F299" i="2"/>
  <c r="F302" i="2" s="1"/>
  <c r="G132" i="1"/>
  <c r="E57" i="1"/>
  <c r="C138" i="3"/>
  <c r="E160" i="2"/>
  <c r="D299" i="2"/>
  <c r="D302" i="2" s="1"/>
  <c r="E64" i="2"/>
  <c r="D235" i="3"/>
  <c r="D320" i="3" s="1"/>
  <c r="C317" i="2"/>
  <c r="C320" i="2" s="1"/>
  <c r="D72" i="3"/>
  <c r="B30" i="5"/>
  <c r="B34" i="5" s="1"/>
  <c r="C23" i="3"/>
  <c r="D64" i="2"/>
  <c r="E370" i="2"/>
  <c r="B25" i="3"/>
  <c r="F33" i="1"/>
  <c r="F304" i="2"/>
  <c r="E86" i="2"/>
  <c r="G303" i="2"/>
  <c r="C129" i="3"/>
  <c r="E78" i="2"/>
  <c r="C375" i="3" s="1"/>
  <c r="E251" i="2"/>
  <c r="G33" i="1"/>
  <c r="B330" i="2"/>
  <c r="C299" i="2"/>
  <c r="C302" i="2" s="1"/>
  <c r="D19" i="5"/>
  <c r="D26" i="5" s="1"/>
  <c r="D39" i="5" s="1"/>
  <c r="D64" i="5" s="1"/>
  <c r="B89" i="2"/>
  <c r="F115" i="2"/>
  <c r="G285" i="2"/>
  <c r="B371" i="3"/>
  <c r="E304" i="2"/>
  <c r="D86" i="2"/>
  <c r="H203" i="3"/>
  <c r="I203" i="3" s="1"/>
  <c r="C73" i="3"/>
  <c r="C72" i="3"/>
  <c r="D73" i="3"/>
  <c r="C267" i="2"/>
  <c r="D267" i="2"/>
  <c r="D44" i="1"/>
  <c r="B52" i="2"/>
  <c r="B62" i="2"/>
  <c r="B135" i="2"/>
  <c r="B65" i="2"/>
  <c r="B47" i="2"/>
  <c r="B169" i="2"/>
  <c r="C83" i="1"/>
  <c r="C143" i="1" s="1"/>
  <c r="C216" i="3"/>
  <c r="F58" i="5"/>
  <c r="F62" i="5" s="1"/>
  <c r="G58" i="5"/>
  <c r="H58" i="5"/>
  <c r="I58" i="5"/>
  <c r="B247" i="3"/>
  <c r="C237" i="3"/>
  <c r="D147" i="3"/>
  <c r="E145" i="3"/>
  <c r="D70" i="3"/>
  <c r="D69" i="3"/>
  <c r="C281" i="2"/>
  <c r="B38" i="3"/>
  <c r="C39" i="3"/>
  <c r="C57" i="1"/>
  <c r="B281" i="2"/>
  <c r="F268" i="3"/>
  <c r="G269" i="3"/>
  <c r="D65" i="2"/>
  <c r="D52" i="2"/>
  <c r="E83" i="1"/>
  <c r="E143" i="1" s="1"/>
  <c r="D47" i="2"/>
  <c r="B367" i="3" s="1"/>
  <c r="C165" i="3"/>
  <c r="D165" i="3"/>
  <c r="H66" i="3"/>
  <c r="F83" i="1"/>
  <c r="F143" i="1" s="1"/>
  <c r="E47" i="2"/>
  <c r="C367" i="3" s="1"/>
  <c r="E169" i="2"/>
  <c r="E65" i="2"/>
  <c r="E52" i="2"/>
  <c r="E62" i="2"/>
  <c r="E135" i="2"/>
  <c r="C307" i="2" s="1"/>
  <c r="F193" i="3"/>
  <c r="G193" i="3" s="1"/>
  <c r="H193" i="3" s="1"/>
  <c r="I193" i="3" s="1"/>
  <c r="D225" i="3"/>
  <c r="C225" i="3"/>
  <c r="C64" i="3"/>
  <c r="C213" i="3"/>
  <c r="E275" i="4"/>
  <c r="F97" i="2"/>
  <c r="F98" i="2"/>
  <c r="G287" i="2"/>
  <c r="D138" i="3"/>
  <c r="C201" i="3"/>
  <c r="B208" i="3"/>
  <c r="D33" i="1"/>
  <c r="C321" i="3"/>
  <c r="D321" i="3"/>
  <c r="D243" i="3"/>
  <c r="C243" i="3"/>
  <c r="E312" i="3"/>
  <c r="D171" i="3"/>
  <c r="G140" i="3"/>
  <c r="G167" i="3"/>
  <c r="G176" i="3"/>
  <c r="G134" i="3"/>
  <c r="H22" i="3"/>
  <c r="F377" i="2"/>
  <c r="F378" i="2" s="1"/>
  <c r="B299" i="2"/>
  <c r="B302" i="2" s="1"/>
  <c r="B47" i="3"/>
  <c r="G299" i="2"/>
  <c r="G302" i="2" s="1"/>
  <c r="D100" i="3"/>
  <c r="B116" i="2"/>
  <c r="D330" i="2"/>
  <c r="E299" i="2"/>
  <c r="E302" i="2" s="1"/>
  <c r="B78" i="3"/>
  <c r="B59" i="3"/>
  <c r="F132" i="1"/>
  <c r="E238" i="4"/>
  <c r="E177" i="4"/>
  <c r="E120" i="4"/>
  <c r="I168" i="4"/>
  <c r="J16" i="3"/>
  <c r="J106" i="3" s="1"/>
  <c r="I227" i="4"/>
  <c r="E88" i="4"/>
  <c r="I83" i="4"/>
  <c r="F168" i="4"/>
  <c r="H168" i="4"/>
  <c r="H113" i="4"/>
  <c r="E227" i="4"/>
  <c r="E83" i="4"/>
  <c r="H83" i="4"/>
  <c r="I113" i="4"/>
  <c r="G227" i="4"/>
  <c r="E234" i="4"/>
  <c r="E168" i="4"/>
  <c r="G113" i="4"/>
  <c r="G168" i="4"/>
  <c r="G83" i="4"/>
  <c r="E175" i="4"/>
  <c r="E113" i="4"/>
  <c r="F28" i="4"/>
  <c r="E118" i="4"/>
  <c r="F227" i="4"/>
  <c r="J121" i="3"/>
  <c r="H221" i="3" l="1"/>
  <c r="H206" i="3"/>
  <c r="F190" i="3"/>
  <c r="G190" i="3" s="1"/>
  <c r="E49" i="5"/>
  <c r="F45" i="5"/>
  <c r="J127" i="3"/>
  <c r="J136" i="3"/>
  <c r="B99" i="1"/>
  <c r="B115" i="1" s="1"/>
  <c r="B134" i="1" s="1"/>
  <c r="B136" i="1" s="1"/>
  <c r="B94" i="1"/>
  <c r="B90" i="1"/>
  <c r="F62" i="2"/>
  <c r="C337" i="2"/>
  <c r="D337" i="2"/>
  <c r="D342" i="2" s="1"/>
  <c r="D30" i="2"/>
  <c r="T95" i="1"/>
  <c r="B114" i="2"/>
  <c r="C30" i="2"/>
  <c r="B30" i="2"/>
  <c r="C28" i="3"/>
  <c r="C61" i="3"/>
  <c r="C80" i="3" s="1"/>
  <c r="F39" i="4"/>
  <c r="F65" i="4" s="1"/>
  <c r="F46" i="4"/>
  <c r="F48" i="4" s="1"/>
  <c r="V95" i="1"/>
  <c r="B336" i="2"/>
  <c r="B345" i="2" s="1"/>
  <c r="I60" i="5"/>
  <c r="H60" i="5"/>
  <c r="B337" i="2"/>
  <c r="B342" i="2" s="1"/>
  <c r="E30" i="2"/>
  <c r="B28" i="3"/>
  <c r="B61" i="3"/>
  <c r="B80" i="3" s="1"/>
  <c r="F114" i="2"/>
  <c r="D336" i="2"/>
  <c r="D345" i="2" s="1"/>
  <c r="I41" i="5"/>
  <c r="D61" i="5"/>
  <c r="I61" i="5" s="1"/>
  <c r="W95" i="1"/>
  <c r="C336" i="2"/>
  <c r="C345" i="2" s="1"/>
  <c r="D66" i="5"/>
  <c r="F64" i="4"/>
  <c r="F63" i="4"/>
  <c r="F62" i="4"/>
  <c r="E148" i="3"/>
  <c r="F21" i="3"/>
  <c r="E52" i="3"/>
  <c r="E339" i="3"/>
  <c r="E49" i="3"/>
  <c r="E37" i="3"/>
  <c r="E295" i="3" s="1"/>
  <c r="E46" i="3"/>
  <c r="E31" i="3"/>
  <c r="E34" i="5"/>
  <c r="E43" i="3"/>
  <c r="F187" i="3"/>
  <c r="F302" i="3" s="1"/>
  <c r="E316" i="3"/>
  <c r="F166" i="3"/>
  <c r="F311" i="3" s="1"/>
  <c r="E268" i="4"/>
  <c r="F42" i="4"/>
  <c r="D192" i="2"/>
  <c r="D203" i="2"/>
  <c r="D206" i="2"/>
  <c r="F208" i="2"/>
  <c r="F203" i="2"/>
  <c r="B204" i="2"/>
  <c r="B205" i="2"/>
  <c r="B202" i="2"/>
  <c r="B203" i="2"/>
  <c r="B201" i="2"/>
  <c r="B206" i="2"/>
  <c r="C201" i="2"/>
  <c r="C205" i="2"/>
  <c r="C204" i="2"/>
  <c r="C202" i="2"/>
  <c r="C203" i="2"/>
  <c r="C206" i="2"/>
  <c r="E206" i="2"/>
  <c r="E203" i="2"/>
  <c r="E302" i="3"/>
  <c r="F175" i="3"/>
  <c r="F313" i="3" s="1"/>
  <c r="E313" i="3"/>
  <c r="D33" i="5"/>
  <c r="F299" i="3"/>
  <c r="F133" i="3"/>
  <c r="F296" i="3" s="1"/>
  <c r="C178" i="3"/>
  <c r="C161" i="3" s="1"/>
  <c r="E370" i="3"/>
  <c r="B236" i="3"/>
  <c r="H142" i="3"/>
  <c r="I142" i="3" s="1"/>
  <c r="I299" i="3" s="1"/>
  <c r="E298" i="3"/>
  <c r="C62" i="3"/>
  <c r="F65" i="3"/>
  <c r="E65" i="3"/>
  <c r="G276" i="3"/>
  <c r="H277" i="3"/>
  <c r="C29" i="3"/>
  <c r="G130" i="3"/>
  <c r="H130" i="3" s="1"/>
  <c r="G299" i="3"/>
  <c r="D89" i="2"/>
  <c r="F89" i="2"/>
  <c r="C97" i="2"/>
  <c r="B272" i="2"/>
  <c r="B78" i="2"/>
  <c r="B232" i="2"/>
  <c r="B228" i="2"/>
  <c r="B216" i="2"/>
  <c r="B25" i="2"/>
  <c r="B217" i="2"/>
  <c r="B196" i="2"/>
  <c r="B219" i="2"/>
  <c r="D193" i="2"/>
  <c r="D213" i="2"/>
  <c r="D231" i="2"/>
  <c r="D217" i="2"/>
  <c r="D197" i="2"/>
  <c r="D223" i="2"/>
  <c r="D220" i="2"/>
  <c r="D205" i="2"/>
  <c r="D232" i="2"/>
  <c r="D207" i="2"/>
  <c r="D214" i="2"/>
  <c r="D212" i="2"/>
  <c r="D221" i="2"/>
  <c r="D222" i="2"/>
  <c r="D230" i="2"/>
  <c r="D229" i="2"/>
  <c r="D234" i="2"/>
  <c r="D200" i="2"/>
  <c r="D224" i="2"/>
  <c r="D199" i="2"/>
  <c r="E25" i="2"/>
  <c r="C345" i="3" s="1"/>
  <c r="D198" i="2"/>
  <c r="D211" i="2"/>
  <c r="D194" i="2"/>
  <c r="D105" i="2"/>
  <c r="D106" i="2" s="1"/>
  <c r="D195" i="2"/>
  <c r="D208" i="2"/>
  <c r="D219" i="2"/>
  <c r="D202" i="2"/>
  <c r="D204" i="2"/>
  <c r="D225" i="2"/>
  <c r="D209" i="2"/>
  <c r="D215" i="2"/>
  <c r="C150" i="3"/>
  <c r="D169" i="2"/>
  <c r="C62" i="2"/>
  <c r="C169" i="2"/>
  <c r="C34" i="5"/>
  <c r="D35" i="5" s="1"/>
  <c r="B33" i="5"/>
  <c r="F52" i="2"/>
  <c r="E89" i="2"/>
  <c r="H241" i="3"/>
  <c r="G321" i="3"/>
  <c r="E211" i="3"/>
  <c r="E317" i="3" s="1"/>
  <c r="D213" i="3"/>
  <c r="D210" i="3"/>
  <c r="F96" i="2"/>
  <c r="D380" i="3" s="1"/>
  <c r="G278" i="2"/>
  <c r="D226" i="3"/>
  <c r="D228" i="3" s="1"/>
  <c r="B221" i="2"/>
  <c r="B211" i="2"/>
  <c r="B199" i="2"/>
  <c r="B234" i="2"/>
  <c r="B230" i="2"/>
  <c r="B229" i="2"/>
  <c r="D64" i="3"/>
  <c r="C66" i="5"/>
  <c r="B35" i="2"/>
  <c r="B218" i="2"/>
  <c r="B227" i="2"/>
  <c r="B197" i="2"/>
  <c r="B213" i="2"/>
  <c r="B224" i="2"/>
  <c r="B231" i="2"/>
  <c r="B41" i="2"/>
  <c r="B225" i="2"/>
  <c r="F285" i="2"/>
  <c r="B208" i="2"/>
  <c r="B223" i="2"/>
  <c r="B220" i="2"/>
  <c r="B215" i="2"/>
  <c r="B194" i="2"/>
  <c r="B193" i="2"/>
  <c r="C50" i="1"/>
  <c r="B226" i="2" s="1"/>
  <c r="B261" i="2"/>
  <c r="B207" i="2"/>
  <c r="B214" i="2"/>
  <c r="B209" i="2"/>
  <c r="E115" i="2"/>
  <c r="F59" i="1"/>
  <c r="E96" i="2" s="1"/>
  <c r="C380" i="3" s="1"/>
  <c r="D218" i="2"/>
  <c r="D216" i="2"/>
  <c r="D233" i="2"/>
  <c r="B198" i="2"/>
  <c r="B212" i="2"/>
  <c r="B200" i="2"/>
  <c r="B195" i="2"/>
  <c r="B222" i="2"/>
  <c r="B149" i="3"/>
  <c r="D196" i="2"/>
  <c r="D228" i="2"/>
  <c r="D227" i="2"/>
  <c r="B192" i="2"/>
  <c r="E79" i="4"/>
  <c r="D247" i="3"/>
  <c r="D237" i="3"/>
  <c r="D315" i="3"/>
  <c r="C372" i="3"/>
  <c r="F305" i="2"/>
  <c r="C47" i="2"/>
  <c r="C52" i="2"/>
  <c r="C135" i="2"/>
  <c r="D83" i="1"/>
  <c r="D143" i="1" s="1"/>
  <c r="C65" i="2"/>
  <c r="G322" i="3"/>
  <c r="G305" i="2"/>
  <c r="D372" i="3"/>
  <c r="D115" i="2"/>
  <c r="B339" i="2"/>
  <c r="B347" i="2" s="1"/>
  <c r="C339" i="2"/>
  <c r="C347" i="2" s="1"/>
  <c r="E59" i="1"/>
  <c r="E285" i="2"/>
  <c r="D285" i="2"/>
  <c r="G53" i="5"/>
  <c r="G62" i="5" s="1"/>
  <c r="G46" i="5" s="1"/>
  <c r="I53" i="5"/>
  <c r="I62" i="5" s="1"/>
  <c r="I46" i="5" s="1"/>
  <c r="F46" i="5"/>
  <c r="H53" i="5"/>
  <c r="H62" i="5" s="1"/>
  <c r="H46" i="5" s="1"/>
  <c r="F65" i="2"/>
  <c r="F135" i="2"/>
  <c r="D307" i="2" s="1"/>
  <c r="E278" i="2"/>
  <c r="D28" i="3"/>
  <c r="D29" i="3"/>
  <c r="F66" i="2"/>
  <c r="F47" i="2"/>
  <c r="D367" i="3" s="1"/>
  <c r="G151" i="3"/>
  <c r="C159" i="3"/>
  <c r="G80" i="4"/>
  <c r="G169" i="2"/>
  <c r="D294" i="3"/>
  <c r="F169" i="2"/>
  <c r="D95" i="2"/>
  <c r="B379" i="3" s="1"/>
  <c r="D226" i="2"/>
  <c r="D201" i="2"/>
  <c r="F278" i="2"/>
  <c r="E199" i="2"/>
  <c r="E193" i="2"/>
  <c r="E205" i="2"/>
  <c r="E42" i="2"/>
  <c r="C362" i="3" s="1"/>
  <c r="E225" i="2"/>
  <c r="E192" i="2"/>
  <c r="E226" i="2"/>
  <c r="E229" i="2"/>
  <c r="E223" i="2"/>
  <c r="E212" i="2"/>
  <c r="E234" i="2"/>
  <c r="E227" i="2"/>
  <c r="E233" i="2"/>
  <c r="E197" i="2"/>
  <c r="C350" i="3"/>
  <c r="E209" i="2"/>
  <c r="E261" i="2"/>
  <c r="C341" i="3" s="1"/>
  <c r="E220" i="2"/>
  <c r="E204" i="2"/>
  <c r="E221" i="2"/>
  <c r="E228" i="2"/>
  <c r="E202" i="2"/>
  <c r="E230" i="2"/>
  <c r="E207" i="2"/>
  <c r="E219" i="2"/>
  <c r="E218" i="2"/>
  <c r="E215" i="2"/>
  <c r="E224" i="2"/>
  <c r="E201" i="2"/>
  <c r="E216" i="2"/>
  <c r="E232" i="2"/>
  <c r="E214" i="2"/>
  <c r="E211" i="2"/>
  <c r="E217" i="2"/>
  <c r="E195" i="2"/>
  <c r="E200" i="2"/>
  <c r="E196" i="2"/>
  <c r="E208" i="2"/>
  <c r="E35" i="2"/>
  <c r="C355" i="3" s="1"/>
  <c r="E36" i="2"/>
  <c r="C356" i="3" s="1"/>
  <c r="E213" i="2"/>
  <c r="E198" i="2"/>
  <c r="C342" i="2"/>
  <c r="E194" i="2"/>
  <c r="E41" i="2"/>
  <c r="C361" i="3" s="1"/>
  <c r="E231" i="2"/>
  <c r="E95" i="2"/>
  <c r="C379" i="3" s="1"/>
  <c r="E222" i="2"/>
  <c r="F95" i="2"/>
  <c r="D379" i="3" s="1"/>
  <c r="F231" i="2"/>
  <c r="F222" i="2"/>
  <c r="F226" i="2"/>
  <c r="F35" i="2"/>
  <c r="D355" i="3" s="1"/>
  <c r="F227" i="2"/>
  <c r="F224" i="2"/>
  <c r="F36" i="2"/>
  <c r="D356" i="3" s="1"/>
  <c r="F215" i="2"/>
  <c r="F229" i="2"/>
  <c r="F220" i="2"/>
  <c r="F211" i="2"/>
  <c r="F219" i="2"/>
  <c r="F41" i="2"/>
  <c r="D361" i="3" s="1"/>
  <c r="F198" i="2"/>
  <c r="F204" i="2"/>
  <c r="F200" i="2"/>
  <c r="F206" i="2"/>
  <c r="F201" i="2"/>
  <c r="F202" i="2"/>
  <c r="F214" i="2"/>
  <c r="F230" i="2"/>
  <c r="F25" i="2"/>
  <c r="D345" i="3" s="1"/>
  <c r="F199" i="2"/>
  <c r="F225" i="2"/>
  <c r="F192" i="2"/>
  <c r="F42" i="2"/>
  <c r="D362" i="3" s="1"/>
  <c r="F216" i="2"/>
  <c r="F194" i="2"/>
  <c r="F221" i="2"/>
  <c r="F235" i="2"/>
  <c r="F261" i="2"/>
  <c r="D341" i="3" s="1"/>
  <c r="F196" i="2"/>
  <c r="F207" i="2"/>
  <c r="F232" i="2"/>
  <c r="F218" i="2"/>
  <c r="F195" i="2"/>
  <c r="F234" i="2"/>
  <c r="F193" i="2"/>
  <c r="F223" i="2"/>
  <c r="F209" i="2"/>
  <c r="F233" i="2"/>
  <c r="F205" i="2"/>
  <c r="F30" i="2"/>
  <c r="D350" i="3" s="1"/>
  <c r="F228" i="2"/>
  <c r="G261" i="2"/>
  <c r="F217" i="2"/>
  <c r="F212" i="2"/>
  <c r="F197" i="2"/>
  <c r="F213" i="2"/>
  <c r="B248" i="3"/>
  <c r="B253" i="3"/>
  <c r="B254" i="3" s="1"/>
  <c r="C249" i="3"/>
  <c r="F316" i="3"/>
  <c r="C220" i="2"/>
  <c r="C79" i="2"/>
  <c r="D50" i="1"/>
  <c r="C78" i="2"/>
  <c r="C272" i="2"/>
  <c r="D272" i="2"/>
  <c r="B242" i="3"/>
  <c r="B221" i="3"/>
  <c r="B179" i="3"/>
  <c r="B185" i="3"/>
  <c r="B155" i="3"/>
  <c r="B146" i="3"/>
  <c r="B239" i="3"/>
  <c r="B224" i="3"/>
  <c r="B137" i="3"/>
  <c r="B191" i="3"/>
  <c r="B164" i="3"/>
  <c r="B194" i="3"/>
  <c r="B176" i="3"/>
  <c r="B218" i="3"/>
  <c r="B128" i="3"/>
  <c r="B245" i="3"/>
  <c r="B188" i="3"/>
  <c r="B197" i="3"/>
  <c r="B131" i="3"/>
  <c r="B232" i="3"/>
  <c r="B158" i="3"/>
  <c r="B143" i="3"/>
  <c r="B140" i="3"/>
  <c r="B134" i="3"/>
  <c r="B251" i="3"/>
  <c r="B212" i="3"/>
  <c r="B152" i="3"/>
  <c r="B170" i="3"/>
  <c r="B206" i="3"/>
  <c r="C215" i="2"/>
  <c r="G139" i="3"/>
  <c r="H190" i="3"/>
  <c r="G316" i="3"/>
  <c r="B372" i="3"/>
  <c r="E305" i="2"/>
  <c r="D261" i="2"/>
  <c r="B341" i="3" s="1"/>
  <c r="D66" i="2"/>
  <c r="D101" i="2"/>
  <c r="D100" i="2"/>
  <c r="B381" i="3" s="1"/>
  <c r="D140" i="2"/>
  <c r="B308" i="2" s="1"/>
  <c r="E88" i="1"/>
  <c r="F145" i="3"/>
  <c r="F300" i="3" s="1"/>
  <c r="B66" i="2"/>
  <c r="B100" i="2"/>
  <c r="C88" i="1"/>
  <c r="B101" i="2"/>
  <c r="B140" i="2"/>
  <c r="B174" i="2"/>
  <c r="F236" i="2"/>
  <c r="G288" i="2"/>
  <c r="G154" i="1"/>
  <c r="F14" i="2" s="1"/>
  <c r="F169" i="3"/>
  <c r="F312" i="3" s="1"/>
  <c r="B285" i="2"/>
  <c r="B42" i="2"/>
  <c r="B36" i="2"/>
  <c r="B115" i="2"/>
  <c r="C59" i="1"/>
  <c r="C285" i="2"/>
  <c r="B233" i="2"/>
  <c r="D149" i="3"/>
  <c r="D150" i="3"/>
  <c r="C229" i="2"/>
  <c r="C194" i="2"/>
  <c r="C25" i="2"/>
  <c r="C227" i="2"/>
  <c r="C198" i="2"/>
  <c r="C36" i="2"/>
  <c r="C225" i="2"/>
  <c r="C199" i="2"/>
  <c r="C223" i="2"/>
  <c r="C195" i="2"/>
  <c r="C211" i="2"/>
  <c r="C221" i="2"/>
  <c r="C193" i="2"/>
  <c r="D41" i="2"/>
  <c r="C214" i="2"/>
  <c r="C219" i="2"/>
  <c r="C42" i="2"/>
  <c r="C212" i="2"/>
  <c r="C200" i="2"/>
  <c r="C209" i="2"/>
  <c r="C192" i="2"/>
  <c r="C41" i="2"/>
  <c r="D36" i="2"/>
  <c r="B356" i="3" s="1"/>
  <c r="C207" i="2"/>
  <c r="C222" i="2"/>
  <c r="C213" i="2"/>
  <c r="C234" i="2"/>
  <c r="C208" i="2"/>
  <c r="C233" i="2"/>
  <c r="C232" i="2"/>
  <c r="D25" i="2"/>
  <c r="B345" i="3" s="1"/>
  <c r="C196" i="2"/>
  <c r="C35" i="2"/>
  <c r="C230" i="2"/>
  <c r="D35" i="2"/>
  <c r="B355" i="3" s="1"/>
  <c r="C224" i="2"/>
  <c r="C228" i="2"/>
  <c r="C261" i="2"/>
  <c r="D42" i="2"/>
  <c r="C218" i="2"/>
  <c r="C217" i="2"/>
  <c r="C235" i="2"/>
  <c r="C197" i="2"/>
  <c r="C231" i="2"/>
  <c r="C216" i="2"/>
  <c r="B200" i="3"/>
  <c r="E140" i="2"/>
  <c r="C308" i="2" s="1"/>
  <c r="E100" i="2"/>
  <c r="C381" i="3" s="1"/>
  <c r="E101" i="2"/>
  <c r="F88" i="1"/>
  <c r="E105" i="2"/>
  <c r="E106" i="2" s="1"/>
  <c r="E66" i="2"/>
  <c r="E174" i="2"/>
  <c r="G268" i="3"/>
  <c r="H269" i="3"/>
  <c r="E300" i="3"/>
  <c r="C256" i="3"/>
  <c r="G65" i="3"/>
  <c r="B215" i="3"/>
  <c r="B226" i="3"/>
  <c r="B209" i="3"/>
  <c r="C210" i="3"/>
  <c r="I66" i="3"/>
  <c r="I22" i="3"/>
  <c r="H176" i="3"/>
  <c r="H140" i="3"/>
  <c r="H167" i="3"/>
  <c r="H134" i="3"/>
  <c r="J58" i="3"/>
  <c r="J87" i="3"/>
  <c r="J77" i="3"/>
  <c r="J93" i="3"/>
  <c r="J90" i="3"/>
  <c r="J231" i="3"/>
  <c r="J142" i="3"/>
  <c r="J299" i="3" s="1"/>
  <c r="J193" i="3"/>
  <c r="I221" i="3" l="1"/>
  <c r="I206" i="3"/>
  <c r="F40" i="5"/>
  <c r="F42" i="5" s="1"/>
  <c r="G33" i="5" s="1"/>
  <c r="F37" i="3"/>
  <c r="F295" i="3" s="1"/>
  <c r="F66" i="4"/>
  <c r="D67" i="5"/>
  <c r="B31" i="2"/>
  <c r="B24" i="2"/>
  <c r="B29" i="2"/>
  <c r="B26" i="2"/>
  <c r="C114" i="2"/>
  <c r="E26" i="2"/>
  <c r="C346" i="3" s="1"/>
  <c r="E24" i="2"/>
  <c r="E29" i="2"/>
  <c r="D26" i="2"/>
  <c r="B346" i="3" s="1"/>
  <c r="D24" i="2"/>
  <c r="B344" i="3" s="1"/>
  <c r="D31" i="2"/>
  <c r="D29" i="2"/>
  <c r="D114" i="2"/>
  <c r="E31" i="2"/>
  <c r="E114" i="2"/>
  <c r="E297" i="3"/>
  <c r="E301" i="3"/>
  <c r="F49" i="3"/>
  <c r="F52" i="3"/>
  <c r="F34" i="3"/>
  <c r="E27" i="3"/>
  <c r="F339" i="3"/>
  <c r="F43" i="3"/>
  <c r="F46" i="3"/>
  <c r="E371" i="3"/>
  <c r="G21" i="3"/>
  <c r="F24" i="3"/>
  <c r="F27" i="3" s="1"/>
  <c r="F28" i="3" s="1"/>
  <c r="F31" i="3"/>
  <c r="F55" i="3"/>
  <c r="G187" i="3"/>
  <c r="G302" i="3" s="1"/>
  <c r="G166" i="3"/>
  <c r="G311" i="3" s="1"/>
  <c r="E154" i="3"/>
  <c r="E200" i="3" s="1"/>
  <c r="E199" i="3" s="1"/>
  <c r="G175" i="3"/>
  <c r="H175" i="3" s="1"/>
  <c r="H313" i="3" s="1"/>
  <c r="X95" i="1"/>
  <c r="B62" i="3"/>
  <c r="D174" i="2"/>
  <c r="U95" i="1"/>
  <c r="C63" i="3"/>
  <c r="H299" i="3"/>
  <c r="C67" i="5"/>
  <c r="C69" i="5" s="1"/>
  <c r="F154" i="3"/>
  <c r="G40" i="5"/>
  <c r="G42" i="5" s="1"/>
  <c r="G169" i="3"/>
  <c r="G312" i="3" s="1"/>
  <c r="B105" i="2"/>
  <c r="B106" i="2" s="1"/>
  <c r="E150" i="3"/>
  <c r="G133" i="3"/>
  <c r="H133" i="3" s="1"/>
  <c r="C242" i="3"/>
  <c r="F370" i="3"/>
  <c r="C96" i="3"/>
  <c r="C109" i="3" s="1"/>
  <c r="H276" i="3"/>
  <c r="I277" i="3"/>
  <c r="I276" i="3" s="1"/>
  <c r="B278" i="2"/>
  <c r="B96" i="2"/>
  <c r="B95" i="2"/>
  <c r="C60" i="1"/>
  <c r="B288" i="2" s="1"/>
  <c r="F300" i="2"/>
  <c r="F101" i="2"/>
  <c r="F60" i="1"/>
  <c r="F288" i="2" s="1"/>
  <c r="H321" i="3"/>
  <c r="I241" i="3"/>
  <c r="I321" i="3" s="1"/>
  <c r="F211" i="3"/>
  <c r="F317" i="3" s="1"/>
  <c r="C322" i="2"/>
  <c r="C174" i="2"/>
  <c r="E98" i="2"/>
  <c r="E97" i="2"/>
  <c r="F287" i="2"/>
  <c r="E235" i="2"/>
  <c r="F140" i="2"/>
  <c r="D308" i="2" s="1"/>
  <c r="H80" i="4"/>
  <c r="H322" i="3"/>
  <c r="G88" i="1"/>
  <c r="F100" i="2"/>
  <c r="D381" i="3" s="1"/>
  <c r="D88" i="1"/>
  <c r="C29" i="2" s="1"/>
  <c r="C100" i="2"/>
  <c r="C66" i="2"/>
  <c r="C101" i="2"/>
  <c r="C140" i="2"/>
  <c r="E54" i="5"/>
  <c r="F54" i="5" s="1"/>
  <c r="G54" i="5" s="1"/>
  <c r="H54" i="5" s="1"/>
  <c r="I54" i="5" s="1"/>
  <c r="D62" i="3"/>
  <c r="D63" i="3"/>
  <c r="F174" i="2"/>
  <c r="D98" i="2"/>
  <c r="D287" i="2"/>
  <c r="E287" i="2"/>
  <c r="D96" i="2"/>
  <c r="B380" i="3" s="1"/>
  <c r="D235" i="2"/>
  <c r="E60" i="1"/>
  <c r="D97" i="2"/>
  <c r="F105" i="2"/>
  <c r="F106" i="2" s="1"/>
  <c r="G174" i="2"/>
  <c r="H151" i="3"/>
  <c r="D253" i="3"/>
  <c r="D254" i="3" s="1"/>
  <c r="E163" i="4"/>
  <c r="D249" i="3"/>
  <c r="F235" i="3"/>
  <c r="E320" i="3"/>
  <c r="C323" i="2"/>
  <c r="C251" i="3"/>
  <c r="C203" i="3"/>
  <c r="C254" i="3"/>
  <c r="C224" i="3"/>
  <c r="C197" i="3"/>
  <c r="C227" i="3"/>
  <c r="C131" i="3"/>
  <c r="C245" i="3"/>
  <c r="C158" i="3"/>
  <c r="C167" i="3"/>
  <c r="C155" i="3"/>
  <c r="C140" i="3"/>
  <c r="C143" i="3"/>
  <c r="C218" i="3"/>
  <c r="C215" i="3"/>
  <c r="C137" i="3"/>
  <c r="C128" i="3"/>
  <c r="C179" i="3"/>
  <c r="C176" i="3"/>
  <c r="C134" i="3"/>
  <c r="C185" i="3"/>
  <c r="C221" i="3"/>
  <c r="C236" i="3"/>
  <c r="D323" i="2"/>
  <c r="C149" i="3"/>
  <c r="C206" i="3"/>
  <c r="C209" i="3"/>
  <c r="C248" i="3"/>
  <c r="C200" i="3"/>
  <c r="C191" i="3"/>
  <c r="C239" i="3"/>
  <c r="C170" i="3"/>
  <c r="C164" i="3"/>
  <c r="C212" i="3"/>
  <c r="C232" i="3"/>
  <c r="C152" i="3"/>
  <c r="C188" i="3"/>
  <c r="C146" i="3"/>
  <c r="C180" i="3"/>
  <c r="C194" i="3"/>
  <c r="D322" i="2"/>
  <c r="G300" i="2"/>
  <c r="B322" i="2"/>
  <c r="B361" i="3"/>
  <c r="C258" i="3"/>
  <c r="B227" i="3"/>
  <c r="C228" i="3"/>
  <c r="D232" i="3"/>
  <c r="D131" i="3"/>
  <c r="D242" i="3"/>
  <c r="D236" i="3"/>
  <c r="D158" i="3"/>
  <c r="D128" i="3"/>
  <c r="D245" i="3"/>
  <c r="D185" i="3"/>
  <c r="D134" i="3"/>
  <c r="D251" i="3"/>
  <c r="D140" i="3"/>
  <c r="D176" i="3"/>
  <c r="D188" i="3"/>
  <c r="D155" i="3"/>
  <c r="D248" i="3"/>
  <c r="D191" i="3"/>
  <c r="D152" i="3"/>
  <c r="D197" i="3"/>
  <c r="D167" i="3"/>
  <c r="D203" i="3"/>
  <c r="D209" i="3"/>
  <c r="D180" i="3"/>
  <c r="D218" i="3"/>
  <c r="D179" i="3"/>
  <c r="D221" i="3"/>
  <c r="D194" i="3"/>
  <c r="D239" i="3"/>
  <c r="D200" i="3"/>
  <c r="D173" i="3"/>
  <c r="D206" i="3"/>
  <c r="D215" i="3"/>
  <c r="D164" i="3"/>
  <c r="D224" i="3"/>
  <c r="D143" i="3"/>
  <c r="D137" i="3"/>
  <c r="D146" i="3"/>
  <c r="D212" i="3"/>
  <c r="D170" i="3"/>
  <c r="B155" i="1"/>
  <c r="G145" i="3"/>
  <c r="D278" i="2"/>
  <c r="D60" i="1"/>
  <c r="C96" i="2"/>
  <c r="C278" i="2"/>
  <c r="C95" i="2"/>
  <c r="C226" i="2"/>
  <c r="C257" i="3"/>
  <c r="D145" i="2"/>
  <c r="E99" i="1"/>
  <c r="D68" i="2"/>
  <c r="D67" i="2"/>
  <c r="E90" i="1"/>
  <c r="B335" i="2" s="1"/>
  <c r="C105" i="2"/>
  <c r="C106" i="2" s="1"/>
  <c r="F99" i="1"/>
  <c r="C344" i="3"/>
  <c r="E67" i="2"/>
  <c r="E179" i="2"/>
  <c r="E145" i="2"/>
  <c r="E68" i="2"/>
  <c r="F90" i="1"/>
  <c r="C335" i="2" s="1"/>
  <c r="B235" i="2"/>
  <c r="B97" i="2"/>
  <c r="C287" i="2"/>
  <c r="B287" i="2"/>
  <c r="B98" i="2"/>
  <c r="E300" i="2"/>
  <c r="B350" i="3"/>
  <c r="I130" i="3"/>
  <c r="J130" i="3" s="1"/>
  <c r="I190" i="3"/>
  <c r="H316" i="3"/>
  <c r="C255" i="3"/>
  <c r="B323" i="2"/>
  <c r="B362" i="3"/>
  <c r="I140" i="3"/>
  <c r="I134" i="3"/>
  <c r="I167" i="3"/>
  <c r="I176" i="3"/>
  <c r="H139" i="3"/>
  <c r="H298" i="3" s="1"/>
  <c r="D227" i="3"/>
  <c r="H65" i="3"/>
  <c r="H268" i="3"/>
  <c r="I269" i="3"/>
  <c r="I268" i="3" s="1"/>
  <c r="J268" i="3" s="1"/>
  <c r="G298" i="3"/>
  <c r="B81" i="3"/>
  <c r="B96" i="3"/>
  <c r="B179" i="2"/>
  <c r="B68" i="2"/>
  <c r="C90" i="1"/>
  <c r="C99" i="1"/>
  <c r="B67" i="2"/>
  <c r="B145" i="2"/>
  <c r="C259" i="3"/>
  <c r="F179" i="2" l="1"/>
  <c r="F26" i="2"/>
  <c r="D346" i="3" s="1"/>
  <c r="F29" i="2"/>
  <c r="D349" i="3" s="1"/>
  <c r="F31" i="2"/>
  <c r="D351" i="3" s="1"/>
  <c r="F24" i="2"/>
  <c r="D344" i="3" s="1"/>
  <c r="G339" i="3"/>
  <c r="G49" i="3"/>
  <c r="G55" i="3"/>
  <c r="G43" i="3"/>
  <c r="H187" i="3"/>
  <c r="C179" i="2"/>
  <c r="C31" i="2"/>
  <c r="C24" i="2"/>
  <c r="C26" i="2"/>
  <c r="E29" i="3"/>
  <c r="G34" i="5"/>
  <c r="G24" i="3"/>
  <c r="G31" i="3"/>
  <c r="G46" i="3"/>
  <c r="E28" i="3"/>
  <c r="H21" i="3"/>
  <c r="F29" i="3"/>
  <c r="G37" i="3"/>
  <c r="G295" i="3" s="1"/>
  <c r="F366" i="3"/>
  <c r="G52" i="3"/>
  <c r="F301" i="3"/>
  <c r="G34" i="3"/>
  <c r="H166" i="3"/>
  <c r="H311" i="3" s="1"/>
  <c r="F308" i="3"/>
  <c r="E215" i="3"/>
  <c r="E214" i="3" s="1"/>
  <c r="G313" i="3"/>
  <c r="E163" i="3"/>
  <c r="E310" i="3" s="1"/>
  <c r="E196" i="3"/>
  <c r="E160" i="3"/>
  <c r="E218" i="3"/>
  <c r="E217" i="3" s="1"/>
  <c r="E71" i="3" s="1"/>
  <c r="I175" i="3"/>
  <c r="I313" i="3" s="1"/>
  <c r="G99" i="1"/>
  <c r="G115" i="1" s="1"/>
  <c r="F68" i="2"/>
  <c r="C82" i="3"/>
  <c r="C102" i="3"/>
  <c r="C103" i="3" s="1"/>
  <c r="C98" i="3"/>
  <c r="F218" i="3"/>
  <c r="F200" i="3"/>
  <c r="F199" i="3" s="1"/>
  <c r="H296" i="3"/>
  <c r="H169" i="3"/>
  <c r="H312" i="3" s="1"/>
  <c r="H33" i="5"/>
  <c r="G154" i="3"/>
  <c r="H40" i="5"/>
  <c r="H42" i="5" s="1"/>
  <c r="F215" i="3"/>
  <c r="F161" i="3"/>
  <c r="F197" i="3"/>
  <c r="I133" i="3"/>
  <c r="C154" i="1"/>
  <c r="B14" i="2" s="1"/>
  <c r="B236" i="2"/>
  <c r="C81" i="3"/>
  <c r="C97" i="3"/>
  <c r="C293" i="3"/>
  <c r="C307" i="3" s="1"/>
  <c r="C326" i="3" s="1"/>
  <c r="C328" i="3" s="1"/>
  <c r="G296" i="3"/>
  <c r="G370" i="3"/>
  <c r="F68" i="3"/>
  <c r="G211" i="3"/>
  <c r="G317" i="3" s="1"/>
  <c r="E288" i="2"/>
  <c r="F154" i="1"/>
  <c r="E14" i="2" s="1"/>
  <c r="E236" i="2"/>
  <c r="J241" i="3"/>
  <c r="J321" i="3" s="1"/>
  <c r="F67" i="2"/>
  <c r="G90" i="1"/>
  <c r="G179" i="2"/>
  <c r="F145" i="2"/>
  <c r="D255" i="3"/>
  <c r="D256" i="3"/>
  <c r="I151" i="3"/>
  <c r="J151" i="3" s="1"/>
  <c r="D81" i="3"/>
  <c r="D109" i="3"/>
  <c r="D82" i="3"/>
  <c r="D236" i="2"/>
  <c r="E154" i="1"/>
  <c r="D14" i="2" s="1"/>
  <c r="D99" i="1"/>
  <c r="C145" i="2"/>
  <c r="C67" i="2"/>
  <c r="C68" i="2"/>
  <c r="D90" i="1"/>
  <c r="C57" i="2" s="1"/>
  <c r="D179" i="2"/>
  <c r="F79" i="4"/>
  <c r="F320" i="3"/>
  <c r="G235" i="3"/>
  <c r="F47" i="5"/>
  <c r="I322" i="3"/>
  <c r="J322" i="3"/>
  <c r="I80" i="4"/>
  <c r="E173" i="4"/>
  <c r="E165" i="4"/>
  <c r="E220" i="4"/>
  <c r="H145" i="3"/>
  <c r="C341" i="2"/>
  <c r="C343" i="2"/>
  <c r="G300" i="3"/>
  <c r="C351" i="3"/>
  <c r="D296" i="2"/>
  <c r="C110" i="3"/>
  <c r="B341" i="2"/>
  <c r="B343" i="2"/>
  <c r="B310" i="2"/>
  <c r="B300" i="2"/>
  <c r="B349" i="3"/>
  <c r="I316" i="3"/>
  <c r="J190" i="3"/>
  <c r="J316" i="3" s="1"/>
  <c r="B102" i="3"/>
  <c r="B103" i="3" s="1"/>
  <c r="B97" i="3"/>
  <c r="B109" i="3"/>
  <c r="B110" i="3" s="1"/>
  <c r="D40" i="2"/>
  <c r="D147" i="2"/>
  <c r="D48" i="2"/>
  <c r="D43" i="2"/>
  <c r="D117" i="2"/>
  <c r="D34" i="2"/>
  <c r="B354" i="3" s="1"/>
  <c r="E155" i="1"/>
  <c r="D15" i="2" s="1"/>
  <c r="D37" i="2"/>
  <c r="B357" i="3" s="1"/>
  <c r="D53" i="2"/>
  <c r="B360" i="2"/>
  <c r="B364" i="2" s="1"/>
  <c r="B381" i="2" s="1"/>
  <c r="C115" i="1"/>
  <c r="I65" i="3"/>
  <c r="J65" i="3" s="1"/>
  <c r="I187" i="3"/>
  <c r="H302" i="3"/>
  <c r="B37" i="2"/>
  <c r="B34" i="2"/>
  <c r="B40" i="2"/>
  <c r="B48" i="2"/>
  <c r="B53" i="2"/>
  <c r="B117" i="2"/>
  <c r="B147" i="2"/>
  <c r="C155" i="1"/>
  <c r="B15" i="2" s="1"/>
  <c r="B43" i="2"/>
  <c r="B58" i="2"/>
  <c r="B57" i="2"/>
  <c r="B181" i="2"/>
  <c r="E360" i="2"/>
  <c r="E364" i="2" s="1"/>
  <c r="E381" i="2" s="1"/>
  <c r="E40" i="2"/>
  <c r="E34" i="2"/>
  <c r="C354" i="3" s="1"/>
  <c r="E37" i="2"/>
  <c r="C357" i="3" s="1"/>
  <c r="E43" i="2"/>
  <c r="E48" i="2"/>
  <c r="E147" i="2"/>
  <c r="E117" i="2"/>
  <c r="E53" i="2"/>
  <c r="E58" i="2"/>
  <c r="E181" i="2"/>
  <c r="C340" i="3" s="1"/>
  <c r="E57" i="2"/>
  <c r="F155" i="1"/>
  <c r="E15" i="2" s="1"/>
  <c r="C288" i="2"/>
  <c r="C236" i="2"/>
  <c r="D288" i="2"/>
  <c r="D154" i="1"/>
  <c r="C14" i="2" s="1"/>
  <c r="B257" i="3"/>
  <c r="B259" i="3"/>
  <c r="E115" i="1"/>
  <c r="D360" i="2"/>
  <c r="D364" i="2" s="1"/>
  <c r="D381" i="2" s="1"/>
  <c r="I139" i="3"/>
  <c r="J139" i="3" s="1"/>
  <c r="J298" i="3" s="1"/>
  <c r="C300" i="2"/>
  <c r="C349" i="3"/>
  <c r="C310" i="2"/>
  <c r="C296" i="2"/>
  <c r="B351" i="3"/>
  <c r="E74" i="3" l="1"/>
  <c r="E40" i="3"/>
  <c r="E61" i="3" s="1"/>
  <c r="F148" i="3"/>
  <c r="F150" i="3" s="1"/>
  <c r="F360" i="2"/>
  <c r="F364" i="2" s="1"/>
  <c r="F381" i="2" s="1"/>
  <c r="F57" i="2"/>
  <c r="D335" i="2"/>
  <c r="E63" i="3"/>
  <c r="H55" i="3"/>
  <c r="F371" i="3"/>
  <c r="H24" i="3"/>
  <c r="H27" i="3" s="1"/>
  <c r="H28" i="3" s="1"/>
  <c r="F297" i="3"/>
  <c r="G27" i="3"/>
  <c r="H34" i="5"/>
  <c r="H370" i="3"/>
  <c r="H34" i="3"/>
  <c r="I21" i="3"/>
  <c r="H52" i="3"/>
  <c r="H339" i="3"/>
  <c r="H43" i="3"/>
  <c r="H31" i="3"/>
  <c r="H46" i="3"/>
  <c r="H37" i="3"/>
  <c r="H295" i="3" s="1"/>
  <c r="H49" i="3"/>
  <c r="F196" i="3"/>
  <c r="I166" i="3"/>
  <c r="I311" i="3" s="1"/>
  <c r="F160" i="3"/>
  <c r="F309" i="3" s="1"/>
  <c r="E318" i="3"/>
  <c r="F214" i="3"/>
  <c r="F318" i="3" s="1"/>
  <c r="F217" i="3"/>
  <c r="F71" i="3" s="1"/>
  <c r="F163" i="3"/>
  <c r="F310" i="3" s="1"/>
  <c r="E319" i="3"/>
  <c r="C325" i="3"/>
  <c r="E309" i="3"/>
  <c r="J175" i="3"/>
  <c r="J313" i="3" s="1"/>
  <c r="F48" i="2"/>
  <c r="F53" i="2"/>
  <c r="G181" i="2"/>
  <c r="F34" i="2"/>
  <c r="D354" i="3" s="1"/>
  <c r="G155" i="1"/>
  <c r="F15" i="2" s="1"/>
  <c r="F40" i="2"/>
  <c r="D360" i="3" s="1"/>
  <c r="D58" i="2"/>
  <c r="D57" i="2"/>
  <c r="I296" i="3"/>
  <c r="H211" i="3"/>
  <c r="H317" i="3" s="1"/>
  <c r="G218" i="3"/>
  <c r="G200" i="3"/>
  <c r="G199" i="3" s="1"/>
  <c r="J133" i="3"/>
  <c r="I169" i="3"/>
  <c r="J169" i="3" s="1"/>
  <c r="J312" i="3" s="1"/>
  <c r="I40" i="5"/>
  <c r="I42" i="5" s="1"/>
  <c r="I154" i="3" s="1"/>
  <c r="I33" i="5"/>
  <c r="H154" i="3"/>
  <c r="G308" i="3"/>
  <c r="G161" i="3"/>
  <c r="G197" i="3"/>
  <c r="G196" i="3" s="1"/>
  <c r="G215" i="3"/>
  <c r="G68" i="3"/>
  <c r="C181" i="2"/>
  <c r="C58" i="2"/>
  <c r="D300" i="2"/>
  <c r="F58" i="2"/>
  <c r="F43" i="2"/>
  <c r="D318" i="2" s="1"/>
  <c r="D331" i="2" s="1"/>
  <c r="F181" i="2"/>
  <c r="D340" i="3" s="1"/>
  <c r="F70" i="2"/>
  <c r="D310" i="2"/>
  <c r="F37" i="2"/>
  <c r="D357" i="3" s="1"/>
  <c r="E296" i="2"/>
  <c r="F147" i="2"/>
  <c r="F117" i="2"/>
  <c r="C104" i="3"/>
  <c r="E236" i="4"/>
  <c r="E224" i="4"/>
  <c r="D98" i="3"/>
  <c r="D293" i="3"/>
  <c r="D307" i="3" s="1"/>
  <c r="D102" i="3"/>
  <c r="D323" i="3" s="1"/>
  <c r="D97" i="3"/>
  <c r="C43" i="2"/>
  <c r="C48" i="2"/>
  <c r="C147" i="2"/>
  <c r="C117" i="2"/>
  <c r="C34" i="2"/>
  <c r="C53" i="2"/>
  <c r="C37" i="2"/>
  <c r="C40" i="2"/>
  <c r="D155" i="1"/>
  <c r="C15" i="2" s="1"/>
  <c r="D184" i="2"/>
  <c r="F49" i="5"/>
  <c r="F294" i="3"/>
  <c r="G45" i="5"/>
  <c r="G47" i="5" s="1"/>
  <c r="E372" i="3"/>
  <c r="E294" i="3"/>
  <c r="G79" i="4"/>
  <c r="H235" i="3"/>
  <c r="H79" i="4" s="1"/>
  <c r="G320" i="3"/>
  <c r="D259" i="3"/>
  <c r="D258" i="3"/>
  <c r="D257" i="3"/>
  <c r="D181" i="2"/>
  <c r="B340" i="3" s="1"/>
  <c r="D115" i="1"/>
  <c r="C360" i="2"/>
  <c r="C364" i="2" s="1"/>
  <c r="C381" i="2" s="1"/>
  <c r="C111" i="3"/>
  <c r="C134" i="1"/>
  <c r="C136" i="1" s="1"/>
  <c r="B99" i="2"/>
  <c r="B80" i="2"/>
  <c r="B108" i="2"/>
  <c r="B109" i="2" s="1"/>
  <c r="B321" i="2"/>
  <c r="B360" i="3"/>
  <c r="F99" i="2"/>
  <c r="F80" i="2"/>
  <c r="G134" i="1"/>
  <c r="F108" i="2"/>
  <c r="F109" i="2" s="1"/>
  <c r="I145" i="3"/>
  <c r="J145" i="3" s="1"/>
  <c r="J300" i="3" s="1"/>
  <c r="H300" i="3"/>
  <c r="C346" i="2"/>
  <c r="C348" i="2" s="1"/>
  <c r="C350" i="2" s="1"/>
  <c r="D49" i="2"/>
  <c r="D150" i="2"/>
  <c r="D71" i="2"/>
  <c r="D70" i="2"/>
  <c r="D99" i="2"/>
  <c r="E134" i="1"/>
  <c r="D80" i="2"/>
  <c r="I302" i="3"/>
  <c r="J187" i="3"/>
  <c r="J302" i="3" s="1"/>
  <c r="D108" i="2"/>
  <c r="D109" i="2" s="1"/>
  <c r="C321" i="2"/>
  <c r="C360" i="3"/>
  <c r="E49" i="2"/>
  <c r="E71" i="2"/>
  <c r="E150" i="2"/>
  <c r="E70" i="2"/>
  <c r="E184" i="2"/>
  <c r="I298" i="3"/>
  <c r="C318" i="2"/>
  <c r="C331" i="2" s="1"/>
  <c r="C363" i="3"/>
  <c r="E80" i="2"/>
  <c r="E99" i="2"/>
  <c r="F134" i="1"/>
  <c r="E108" i="2"/>
  <c r="E109" i="2" s="1"/>
  <c r="B346" i="2"/>
  <c r="B348" i="2" s="1"/>
  <c r="B350" i="2" s="1"/>
  <c r="B70" i="2"/>
  <c r="B49" i="2"/>
  <c r="B71" i="2"/>
  <c r="B150" i="2"/>
  <c r="B184" i="2"/>
  <c r="B363" i="3"/>
  <c r="B318" i="2"/>
  <c r="B331" i="2" s="1"/>
  <c r="F156" i="1" l="1"/>
  <c r="E16" i="2" s="1"/>
  <c r="F136" i="1"/>
  <c r="E156" i="1"/>
  <c r="D16" i="2" s="1"/>
  <c r="E136" i="1"/>
  <c r="G156" i="1"/>
  <c r="F16" i="2" s="1"/>
  <c r="G136" i="1"/>
  <c r="E315" i="3"/>
  <c r="E259" i="4" s="1"/>
  <c r="E108" i="4"/>
  <c r="J296" i="3"/>
  <c r="J148" i="3"/>
  <c r="F74" i="3"/>
  <c r="H366" i="3"/>
  <c r="I43" i="3"/>
  <c r="J43" i="3" s="1"/>
  <c r="E80" i="3"/>
  <c r="E381" i="3" s="1"/>
  <c r="E367" i="3"/>
  <c r="E62" i="3"/>
  <c r="F40" i="3"/>
  <c r="F61" i="3" s="1"/>
  <c r="F80" i="3" s="1"/>
  <c r="I370" i="3"/>
  <c r="D341" i="2"/>
  <c r="D343" i="2"/>
  <c r="G371" i="3"/>
  <c r="G148" i="3"/>
  <c r="G150" i="3" s="1"/>
  <c r="G301" i="3"/>
  <c r="G297" i="3"/>
  <c r="G366" i="3"/>
  <c r="G29" i="3"/>
  <c r="G28" i="3"/>
  <c r="H29" i="3"/>
  <c r="I24" i="3"/>
  <c r="J24" i="3" s="1"/>
  <c r="I37" i="3"/>
  <c r="I49" i="3"/>
  <c r="J49" i="3" s="1"/>
  <c r="I52" i="3"/>
  <c r="J52" i="3" s="1"/>
  <c r="I55" i="3"/>
  <c r="J55" i="3" s="1"/>
  <c r="I34" i="5"/>
  <c r="J21" i="3"/>
  <c r="I31" i="3"/>
  <c r="J31" i="3" s="1"/>
  <c r="I339" i="3"/>
  <c r="I46" i="3"/>
  <c r="J46" i="3" s="1"/>
  <c r="I34" i="3"/>
  <c r="J34" i="3" s="1"/>
  <c r="F319" i="3"/>
  <c r="F108" i="4" s="1"/>
  <c r="G163" i="3"/>
  <c r="G310" i="3" s="1"/>
  <c r="G217" i="3"/>
  <c r="G71" i="3" s="1"/>
  <c r="J166" i="3"/>
  <c r="J311" i="3" s="1"/>
  <c r="G214" i="3"/>
  <c r="G318" i="3" s="1"/>
  <c r="G160" i="3"/>
  <c r="G309" i="3" s="1"/>
  <c r="E107" i="4"/>
  <c r="I312" i="3"/>
  <c r="D321" i="2"/>
  <c r="F315" i="3"/>
  <c r="F107" i="4" s="1"/>
  <c r="H68" i="3"/>
  <c r="I211" i="3"/>
  <c r="J211" i="3" s="1"/>
  <c r="J317" i="3" s="1"/>
  <c r="F150" i="2"/>
  <c r="G184" i="2"/>
  <c r="F49" i="2"/>
  <c r="H218" i="3"/>
  <c r="H200" i="3"/>
  <c r="H199" i="3" s="1"/>
  <c r="I218" i="3"/>
  <c r="I200" i="3"/>
  <c r="H161" i="3"/>
  <c r="H215" i="3"/>
  <c r="H197" i="3"/>
  <c r="H196" i="3" s="1"/>
  <c r="H308" i="3"/>
  <c r="J154" i="3"/>
  <c r="J308" i="3" s="1"/>
  <c r="I161" i="3"/>
  <c r="I215" i="3"/>
  <c r="I197" i="3"/>
  <c r="D363" i="3"/>
  <c r="I308" i="3"/>
  <c r="C184" i="2"/>
  <c r="F184" i="2"/>
  <c r="F71" i="2"/>
  <c r="I300" i="3"/>
  <c r="I235" i="3"/>
  <c r="I79" i="4" s="1"/>
  <c r="H320" i="3"/>
  <c r="D325" i="3"/>
  <c r="D326" i="3" s="1"/>
  <c r="D328" i="3" s="1"/>
  <c r="D103" i="3"/>
  <c r="D104" i="3"/>
  <c r="H45" i="5"/>
  <c r="H47" i="5" s="1"/>
  <c r="G49" i="5"/>
  <c r="D111" i="3"/>
  <c r="D110" i="3"/>
  <c r="F372" i="3"/>
  <c r="D134" i="1"/>
  <c r="C80" i="2"/>
  <c r="C99" i="2"/>
  <c r="C108" i="2"/>
  <c r="C109" i="2" s="1"/>
  <c r="C49" i="2"/>
  <c r="C71" i="2"/>
  <c r="C70" i="2"/>
  <c r="C150" i="2"/>
  <c r="D156" i="1" l="1"/>
  <c r="C16" i="2" s="1"/>
  <c r="D136" i="1"/>
  <c r="E82" i="3"/>
  <c r="E84" i="3"/>
  <c r="E81" i="3"/>
  <c r="G74" i="3"/>
  <c r="G40" i="3"/>
  <c r="G61" i="3" s="1"/>
  <c r="G62" i="3" s="1"/>
  <c r="E255" i="4"/>
  <c r="F81" i="3"/>
  <c r="F367" i="3"/>
  <c r="F62" i="3"/>
  <c r="F63" i="3"/>
  <c r="D346" i="2"/>
  <c r="D348" i="2" s="1"/>
  <c r="D350" i="2" s="1"/>
  <c r="J339" i="3"/>
  <c r="H160" i="3"/>
  <c r="I160" i="3" s="1"/>
  <c r="J160" i="3" s="1"/>
  <c r="J309" i="3" s="1"/>
  <c r="H371" i="3"/>
  <c r="H148" i="3"/>
  <c r="H150" i="3" s="1"/>
  <c r="H301" i="3"/>
  <c r="H297" i="3"/>
  <c r="H163" i="3"/>
  <c r="I163" i="3" s="1"/>
  <c r="G319" i="3"/>
  <c r="G108" i="4" s="1"/>
  <c r="J370" i="3"/>
  <c r="I295" i="3"/>
  <c r="J37" i="3"/>
  <c r="J295" i="3" s="1"/>
  <c r="I27" i="3"/>
  <c r="J27" i="3"/>
  <c r="H217" i="3"/>
  <c r="H319" i="3" s="1"/>
  <c r="I317" i="3"/>
  <c r="I68" i="3"/>
  <c r="H214" i="3"/>
  <c r="H309" i="3"/>
  <c r="F259" i="4"/>
  <c r="I199" i="3"/>
  <c r="G315" i="3"/>
  <c r="G107" i="4" s="1"/>
  <c r="I196" i="3"/>
  <c r="G294" i="3"/>
  <c r="I45" i="5"/>
  <c r="I47" i="5" s="1"/>
  <c r="H49" i="5"/>
  <c r="G372" i="3"/>
  <c r="I320" i="3"/>
  <c r="J235" i="3"/>
  <c r="J320" i="3" s="1"/>
  <c r="G367" i="3" l="1"/>
  <c r="G80" i="3"/>
  <c r="G381" i="3" s="1"/>
  <c r="G63" i="3"/>
  <c r="F82" i="3"/>
  <c r="E349" i="3"/>
  <c r="F84" i="3"/>
  <c r="F381" i="3"/>
  <c r="J68" i="3"/>
  <c r="E96" i="3"/>
  <c r="I214" i="3"/>
  <c r="J214" i="3" s="1"/>
  <c r="H40" i="3"/>
  <c r="H61" i="3" s="1"/>
  <c r="H74" i="3"/>
  <c r="H310" i="3"/>
  <c r="H315" i="3" s="1"/>
  <c r="H259" i="4" s="1"/>
  <c r="I28" i="3"/>
  <c r="I366" i="3"/>
  <c r="I29" i="3"/>
  <c r="J366" i="3"/>
  <c r="J28" i="3"/>
  <c r="I371" i="3"/>
  <c r="I297" i="3"/>
  <c r="I148" i="3"/>
  <c r="I150" i="3" s="1"/>
  <c r="H71" i="3"/>
  <c r="I217" i="3"/>
  <c r="I71" i="3" s="1"/>
  <c r="J71" i="3" s="1"/>
  <c r="G259" i="4"/>
  <c r="H318" i="3"/>
  <c r="H108" i="4" s="1"/>
  <c r="I309" i="3"/>
  <c r="J199" i="3"/>
  <c r="I310" i="3"/>
  <c r="J163" i="3"/>
  <c r="J310" i="3" s="1"/>
  <c r="J196" i="3"/>
  <c r="H294" i="3"/>
  <c r="H372" i="3"/>
  <c r="I49" i="5"/>
  <c r="G82" i="3" l="1"/>
  <c r="G84" i="3"/>
  <c r="G81" i="3"/>
  <c r="H107" i="4"/>
  <c r="I74" i="3"/>
  <c r="J74" i="3" s="1"/>
  <c r="I318" i="3"/>
  <c r="I40" i="3"/>
  <c r="F255" i="4"/>
  <c r="F96" i="3"/>
  <c r="F349" i="3"/>
  <c r="H80" i="3"/>
  <c r="H81" i="3" s="1"/>
  <c r="H367" i="3"/>
  <c r="H62" i="3"/>
  <c r="H63" i="3"/>
  <c r="E344" i="3"/>
  <c r="E98" i="3"/>
  <c r="E340" i="3"/>
  <c r="E97" i="3"/>
  <c r="J297" i="3"/>
  <c r="I301" i="3"/>
  <c r="J184" i="3"/>
  <c r="J301" i="3" s="1"/>
  <c r="J150" i="3"/>
  <c r="I319" i="3"/>
  <c r="I108" i="4" s="1"/>
  <c r="J217" i="3"/>
  <c r="J319" i="3" s="1"/>
  <c r="J371" i="3"/>
  <c r="J318" i="3"/>
  <c r="I315" i="3"/>
  <c r="I259" i="4" s="1"/>
  <c r="J315" i="3"/>
  <c r="J107" i="4" s="1"/>
  <c r="I107" i="4"/>
  <c r="I294" i="3"/>
  <c r="J157" i="3"/>
  <c r="I372" i="3"/>
  <c r="G96" i="3" l="1"/>
  <c r="G293" i="3" s="1"/>
  <c r="G349" i="3"/>
  <c r="G255" i="4"/>
  <c r="H381" i="3"/>
  <c r="H82" i="3"/>
  <c r="H84" i="3"/>
  <c r="H255" i="4" s="1"/>
  <c r="J40" i="3"/>
  <c r="J61" i="3" s="1"/>
  <c r="I61" i="3"/>
  <c r="G98" i="3"/>
  <c r="G340" i="3"/>
  <c r="G97" i="3"/>
  <c r="G344" i="3"/>
  <c r="F344" i="3"/>
  <c r="F97" i="3"/>
  <c r="F293" i="3"/>
  <c r="F340" i="3"/>
  <c r="F98" i="3"/>
  <c r="J108" i="4"/>
  <c r="J259" i="4"/>
  <c r="J294" i="3"/>
  <c r="J372" i="3"/>
  <c r="H96" i="3" l="1"/>
  <c r="H97" i="3" s="1"/>
  <c r="H349" i="3"/>
  <c r="I80" i="3"/>
  <c r="I367" i="3"/>
  <c r="I63" i="3"/>
  <c r="I62" i="3"/>
  <c r="H98" i="3"/>
  <c r="J367" i="3"/>
  <c r="J80" i="3"/>
  <c r="J62" i="3"/>
  <c r="H344" i="3"/>
  <c r="H293" i="3" l="1"/>
  <c r="H340" i="3"/>
  <c r="J81" i="3"/>
  <c r="J381" i="3"/>
  <c r="I381" i="3"/>
  <c r="I82" i="3"/>
  <c r="I84" i="3"/>
  <c r="I81" i="3"/>
  <c r="J84" i="3" l="1"/>
  <c r="I349" i="3"/>
  <c r="I255" i="4"/>
  <c r="I96" i="3"/>
  <c r="I98" i="3" l="1"/>
  <c r="I97" i="3"/>
  <c r="I293" i="3"/>
  <c r="I344" i="3"/>
  <c r="I340" i="3"/>
  <c r="J96" i="3"/>
  <c r="J255" i="4"/>
  <c r="J349" i="3"/>
  <c r="J340" i="3" l="1"/>
  <c r="J293" i="3"/>
  <c r="J97" i="3"/>
  <c r="J344" i="3"/>
  <c r="J98" i="3"/>
  <c r="E99" i="3" l="1"/>
  <c r="E102" i="3"/>
  <c r="E103" i="3"/>
  <c r="E104" i="3"/>
  <c r="E109" i="3"/>
  <c r="E110" i="3"/>
  <c r="E111" i="3"/>
  <c r="E265" i="3"/>
  <c r="E271" i="3" s="1"/>
  <c r="E324" i="3"/>
  <c r="E354" i="3"/>
  <c r="E360" i="3"/>
  <c r="F57" i="4"/>
  <c r="F58" i="4"/>
  <c r="F67" i="4"/>
  <c r="F263" i="4" s="1"/>
  <c r="E110" i="4"/>
  <c r="E161" i="4"/>
  <c r="E166" i="4"/>
  <c r="E169" i="4" s="1"/>
  <c r="E218" i="4"/>
  <c r="E222" i="4"/>
  <c r="E223" i="4"/>
  <c r="E225" i="4" s="1"/>
  <c r="E228" i="4" s="1"/>
  <c r="E263" i="4" l="1"/>
  <c r="E273" i="4"/>
  <c r="I263" i="4"/>
  <c r="H263" i="4"/>
  <c r="G263" i="4"/>
  <c r="F99" i="3"/>
  <c r="G99" i="3"/>
  <c r="H99" i="3"/>
  <c r="I99" i="3"/>
  <c r="J99" i="3"/>
  <c r="J102" i="3" s="1"/>
  <c r="F102" i="3"/>
  <c r="G102" i="3"/>
  <c r="H102" i="3"/>
  <c r="I102" i="3"/>
  <c r="F103" i="3"/>
  <c r="G103" i="3"/>
  <c r="H103" i="3"/>
  <c r="I103" i="3"/>
  <c r="F104" i="3"/>
  <c r="G104" i="3"/>
  <c r="H104" i="3"/>
  <c r="I104" i="3"/>
  <c r="F109" i="3"/>
  <c r="G109" i="3"/>
  <c r="H109" i="3"/>
  <c r="I109" i="3"/>
  <c r="F110" i="3"/>
  <c r="G110" i="3"/>
  <c r="H110" i="3"/>
  <c r="I110" i="3"/>
  <c r="F111" i="3"/>
  <c r="G111" i="3"/>
  <c r="H111" i="3"/>
  <c r="I111" i="3"/>
  <c r="J250" i="3"/>
  <c r="J324" i="3" s="1"/>
  <c r="J110" i="4" s="1"/>
  <c r="F265" i="3"/>
  <c r="G265" i="3"/>
  <c r="H265" i="3"/>
  <c r="I265" i="3"/>
  <c r="J265" i="3"/>
  <c r="J271" i="3" s="1"/>
  <c r="F271" i="3"/>
  <c r="G271" i="3"/>
  <c r="H271" i="3"/>
  <c r="I271" i="3"/>
  <c r="F324" i="3"/>
  <c r="G324" i="3"/>
  <c r="H324" i="3"/>
  <c r="I324" i="3"/>
  <c r="F354" i="3"/>
  <c r="G354" i="3"/>
  <c r="H354" i="3"/>
  <c r="I354" i="3"/>
  <c r="F360" i="3"/>
  <c r="G360" i="3"/>
  <c r="H360" i="3"/>
  <c r="I360" i="3"/>
  <c r="F110" i="4"/>
  <c r="G110" i="4"/>
  <c r="H110" i="4"/>
  <c r="I110" i="4"/>
  <c r="F161" i="4"/>
  <c r="G161" i="4"/>
  <c r="H161" i="4"/>
  <c r="I161" i="4"/>
  <c r="F218" i="4"/>
  <c r="G218" i="4"/>
  <c r="H218" i="4"/>
  <c r="I218" i="4"/>
  <c r="J360" i="3" l="1"/>
  <c r="J104" i="3"/>
  <c r="J109" i="3"/>
  <c r="J103" i="3"/>
  <c r="J354" i="3"/>
  <c r="J110" i="3" l="1"/>
  <c r="J161" i="4"/>
  <c r="J111" i="3"/>
  <c r="J218" i="4" l="1"/>
  <c r="E149" i="3" l="1"/>
  <c r="F149" i="3"/>
  <c r="G149" i="3"/>
  <c r="H149" i="3"/>
  <c r="I149" i="3"/>
  <c r="J149" i="3"/>
  <c r="E172" i="3"/>
  <c r="F172" i="3"/>
  <c r="G172" i="3"/>
  <c r="H172" i="3"/>
  <c r="I172" i="3"/>
  <c r="J172" i="3"/>
  <c r="E178" i="3"/>
  <c r="F178" i="3"/>
  <c r="G178" i="3"/>
  <c r="H178" i="3"/>
  <c r="I178" i="3"/>
  <c r="J178" i="3"/>
  <c r="E179" i="3"/>
  <c r="F179" i="3"/>
  <c r="G179" i="3"/>
  <c r="H179" i="3"/>
  <c r="I179" i="3"/>
  <c r="J179" i="3"/>
  <c r="E180" i="3"/>
  <c r="F180" i="3"/>
  <c r="G180" i="3"/>
  <c r="H180" i="3"/>
  <c r="I180" i="3"/>
  <c r="J180" i="3"/>
  <c r="E202" i="3"/>
  <c r="F202" i="3"/>
  <c r="G202" i="3"/>
  <c r="H202" i="3"/>
  <c r="I202" i="3"/>
  <c r="J202" i="3"/>
  <c r="E205" i="3"/>
  <c r="F205" i="3"/>
  <c r="G205" i="3"/>
  <c r="H205" i="3"/>
  <c r="I205" i="3"/>
  <c r="J205" i="3"/>
  <c r="E208" i="3"/>
  <c r="F208" i="3"/>
  <c r="G208" i="3"/>
  <c r="H208" i="3"/>
  <c r="I208" i="3"/>
  <c r="J208" i="3"/>
  <c r="E209" i="3"/>
  <c r="F209" i="3"/>
  <c r="G209" i="3"/>
  <c r="H209" i="3"/>
  <c r="I209" i="3"/>
  <c r="J209" i="3"/>
  <c r="E210" i="3"/>
  <c r="F210" i="3"/>
  <c r="G210" i="3"/>
  <c r="H210" i="3"/>
  <c r="I210" i="3"/>
  <c r="E220" i="3"/>
  <c r="F220" i="3"/>
  <c r="G220" i="3"/>
  <c r="H220" i="3"/>
  <c r="I220" i="3"/>
  <c r="J220" i="3"/>
  <c r="E223" i="3"/>
  <c r="F223" i="3"/>
  <c r="G223" i="3"/>
  <c r="H223" i="3"/>
  <c r="I223" i="3"/>
  <c r="J223" i="3"/>
  <c r="E226" i="3"/>
  <c r="F226" i="3"/>
  <c r="G226" i="3"/>
  <c r="H226" i="3"/>
  <c r="I226" i="3"/>
  <c r="J226" i="3"/>
  <c r="E227" i="3"/>
  <c r="F227" i="3"/>
  <c r="G227" i="3"/>
  <c r="H227" i="3"/>
  <c r="I227" i="3"/>
  <c r="J227" i="3"/>
  <c r="E228" i="3"/>
  <c r="F228" i="3"/>
  <c r="G228" i="3"/>
  <c r="H228" i="3"/>
  <c r="I228" i="3"/>
  <c r="E238" i="3"/>
  <c r="F238" i="3"/>
  <c r="G238" i="3"/>
  <c r="H238" i="3"/>
  <c r="I238" i="3"/>
  <c r="J238" i="3"/>
  <c r="E247" i="3"/>
  <c r="F247" i="3"/>
  <c r="G247" i="3"/>
  <c r="H247" i="3"/>
  <c r="I247" i="3"/>
  <c r="J247" i="3"/>
  <c r="E248" i="3"/>
  <c r="F248" i="3"/>
  <c r="G248" i="3"/>
  <c r="H248" i="3"/>
  <c r="I248" i="3"/>
  <c r="E249" i="3"/>
  <c r="F249" i="3"/>
  <c r="G249" i="3"/>
  <c r="H249" i="3"/>
  <c r="I249" i="3"/>
  <c r="E253" i="3"/>
  <c r="F253" i="3"/>
  <c r="G253" i="3"/>
  <c r="H253" i="3"/>
  <c r="I253" i="3"/>
  <c r="J253" i="3"/>
  <c r="E254" i="3"/>
  <c r="F254" i="3"/>
  <c r="G254" i="3"/>
  <c r="H254" i="3"/>
  <c r="I254" i="3"/>
  <c r="E255" i="3"/>
  <c r="F255" i="3"/>
  <c r="G255" i="3"/>
  <c r="H255" i="3"/>
  <c r="I255" i="3"/>
  <c r="E256" i="3"/>
  <c r="F256" i="3"/>
  <c r="G256" i="3"/>
  <c r="H256" i="3"/>
  <c r="I256" i="3"/>
  <c r="J256" i="3"/>
  <c r="E257" i="3"/>
  <c r="F257" i="3"/>
  <c r="G257" i="3"/>
  <c r="H257" i="3"/>
  <c r="I257" i="3"/>
  <c r="J257" i="3"/>
  <c r="E258" i="3"/>
  <c r="F258" i="3"/>
  <c r="G258" i="3"/>
  <c r="H258" i="3"/>
  <c r="I258" i="3"/>
  <c r="J258" i="3"/>
  <c r="E259" i="3"/>
  <c r="F259" i="3"/>
  <c r="G259" i="3"/>
  <c r="H259" i="3"/>
  <c r="I259" i="3"/>
  <c r="J259" i="3"/>
  <c r="E261" i="3"/>
  <c r="F261" i="3"/>
  <c r="G261" i="3"/>
  <c r="H261" i="3"/>
  <c r="I261" i="3"/>
  <c r="J261" i="3"/>
  <c r="E279" i="3"/>
  <c r="F279" i="3"/>
  <c r="G279" i="3"/>
  <c r="H279" i="3"/>
  <c r="I279" i="3"/>
  <c r="J279" i="3"/>
  <c r="E281" i="3"/>
  <c r="F281" i="3"/>
  <c r="G281" i="3"/>
  <c r="H281" i="3"/>
  <c r="I281" i="3"/>
  <c r="J281" i="3"/>
  <c r="E303" i="3"/>
  <c r="F303" i="3"/>
  <c r="G303" i="3"/>
  <c r="H303" i="3"/>
  <c r="I303" i="3"/>
  <c r="J303" i="3"/>
  <c r="E304" i="3"/>
  <c r="F304" i="3"/>
  <c r="G304" i="3"/>
  <c r="H304" i="3"/>
  <c r="I304" i="3"/>
  <c r="J304" i="3"/>
  <c r="E305" i="3"/>
  <c r="F305" i="3"/>
  <c r="G305" i="3"/>
  <c r="H305" i="3"/>
  <c r="I305" i="3"/>
  <c r="J305" i="3"/>
  <c r="E306" i="3"/>
  <c r="F306" i="3"/>
  <c r="G306" i="3"/>
  <c r="H306" i="3"/>
  <c r="I306" i="3"/>
  <c r="J306" i="3"/>
  <c r="E307" i="3"/>
  <c r="F307" i="3"/>
  <c r="G307" i="3"/>
  <c r="H307" i="3"/>
  <c r="I307" i="3"/>
  <c r="J307" i="3"/>
  <c r="E323" i="3"/>
  <c r="F323" i="3"/>
  <c r="G323" i="3"/>
  <c r="H323" i="3"/>
  <c r="I323" i="3"/>
  <c r="J323" i="3"/>
  <c r="E325" i="3"/>
  <c r="F325" i="3"/>
  <c r="G325" i="3"/>
  <c r="H325" i="3"/>
  <c r="I325" i="3"/>
  <c r="J325" i="3"/>
  <c r="E326" i="3"/>
  <c r="F326" i="3"/>
  <c r="G326" i="3"/>
  <c r="H326" i="3"/>
  <c r="I326" i="3"/>
  <c r="J326" i="3"/>
  <c r="E328" i="3"/>
  <c r="F328" i="3"/>
  <c r="G328" i="3"/>
  <c r="H328" i="3"/>
  <c r="I328" i="3"/>
  <c r="J328" i="3"/>
  <c r="E341" i="3"/>
  <c r="F341" i="3"/>
  <c r="G341" i="3"/>
  <c r="H341" i="3"/>
  <c r="I341" i="3"/>
  <c r="J341" i="3"/>
  <c r="E345" i="3"/>
  <c r="F345" i="3"/>
  <c r="G345" i="3"/>
  <c r="H345" i="3"/>
  <c r="I345" i="3"/>
  <c r="J345" i="3"/>
  <c r="E346" i="3"/>
  <c r="F346" i="3"/>
  <c r="G346" i="3"/>
  <c r="H346" i="3"/>
  <c r="I346" i="3"/>
  <c r="J346" i="3"/>
  <c r="E350" i="3"/>
  <c r="F350" i="3"/>
  <c r="G350" i="3"/>
  <c r="H350" i="3"/>
  <c r="I350" i="3"/>
  <c r="J350" i="3"/>
  <c r="E351" i="3"/>
  <c r="F351" i="3"/>
  <c r="G351" i="3"/>
  <c r="H351" i="3"/>
  <c r="I351" i="3"/>
  <c r="J351" i="3"/>
  <c r="E355" i="3"/>
  <c r="F355" i="3"/>
  <c r="G355" i="3"/>
  <c r="H355" i="3"/>
  <c r="I355" i="3"/>
  <c r="J355" i="3"/>
  <c r="E356" i="3"/>
  <c r="F356" i="3"/>
  <c r="G356" i="3"/>
  <c r="H356" i="3"/>
  <c r="I356" i="3"/>
  <c r="J356" i="3"/>
  <c r="E357" i="3"/>
  <c r="F357" i="3"/>
  <c r="G357" i="3"/>
  <c r="H357" i="3"/>
  <c r="I357" i="3"/>
  <c r="J357" i="3"/>
  <c r="E361" i="3"/>
  <c r="F361" i="3"/>
  <c r="G361" i="3"/>
  <c r="H361" i="3"/>
  <c r="I361" i="3"/>
  <c r="J361" i="3"/>
  <c r="E362" i="3"/>
  <c r="F362" i="3"/>
  <c r="G362" i="3"/>
  <c r="H362" i="3"/>
  <c r="I362" i="3"/>
  <c r="J362" i="3"/>
  <c r="E363" i="3"/>
  <c r="F363" i="3"/>
  <c r="G363" i="3"/>
  <c r="H363" i="3"/>
  <c r="I363" i="3"/>
  <c r="J363" i="3"/>
  <c r="E375" i="3"/>
  <c r="F375" i="3"/>
  <c r="G375" i="3"/>
  <c r="H375" i="3"/>
  <c r="I375" i="3"/>
  <c r="J375" i="3"/>
  <c r="E376" i="3"/>
  <c r="F376" i="3"/>
  <c r="G376" i="3"/>
  <c r="H376" i="3"/>
  <c r="I376" i="3"/>
  <c r="J376" i="3"/>
  <c r="E379" i="3"/>
  <c r="F379" i="3"/>
  <c r="G379" i="3"/>
  <c r="H379" i="3"/>
  <c r="I379" i="3"/>
  <c r="J379" i="3"/>
  <c r="E380" i="3"/>
  <c r="F380" i="3"/>
  <c r="G380" i="3"/>
  <c r="H380" i="3"/>
  <c r="I380" i="3"/>
  <c r="J380" i="3"/>
  <c r="F9" i="4"/>
  <c r="F10" i="4"/>
  <c r="F11" i="4"/>
  <c r="F12" i="4"/>
  <c r="F13" i="4"/>
  <c r="E78" i="4"/>
  <c r="F78" i="4"/>
  <c r="G78" i="4"/>
  <c r="H78" i="4"/>
  <c r="I78" i="4"/>
  <c r="E81" i="4"/>
  <c r="F81" i="4"/>
  <c r="G81" i="4"/>
  <c r="H81" i="4"/>
  <c r="I81" i="4"/>
  <c r="J81" i="4"/>
  <c r="E84" i="4"/>
  <c r="F84" i="4"/>
  <c r="G84" i="4"/>
  <c r="H84" i="4"/>
  <c r="I84" i="4"/>
  <c r="E85" i="4"/>
  <c r="E86" i="4"/>
  <c r="E87" i="4"/>
  <c r="E89" i="4"/>
  <c r="E91" i="4"/>
  <c r="E94" i="4"/>
  <c r="E105" i="4"/>
  <c r="F105" i="4"/>
  <c r="G105" i="4"/>
  <c r="H105" i="4"/>
  <c r="I105" i="4"/>
  <c r="J105" i="4"/>
  <c r="E106" i="4"/>
  <c r="F106" i="4"/>
  <c r="G106" i="4"/>
  <c r="H106" i="4"/>
  <c r="I106" i="4"/>
  <c r="J106" i="4"/>
  <c r="E111" i="4"/>
  <c r="F111" i="4"/>
  <c r="G111" i="4"/>
  <c r="H111" i="4"/>
  <c r="I111" i="4"/>
  <c r="J111" i="4"/>
  <c r="E114" i="4"/>
  <c r="F114" i="4"/>
  <c r="G114" i="4"/>
  <c r="H114" i="4"/>
  <c r="I114" i="4"/>
  <c r="E115" i="4"/>
  <c r="E116" i="4"/>
  <c r="E117" i="4"/>
  <c r="E119" i="4"/>
  <c r="E121" i="4"/>
  <c r="E124" i="4"/>
  <c r="B135" i="4"/>
  <c r="F163" i="4"/>
  <c r="G163" i="4"/>
  <c r="H163" i="4"/>
  <c r="I163" i="4"/>
  <c r="J163" i="4"/>
  <c r="F165" i="4"/>
  <c r="G165" i="4"/>
  <c r="H165" i="4"/>
  <c r="I165" i="4"/>
  <c r="J165" i="4"/>
  <c r="F166" i="4"/>
  <c r="G166" i="4"/>
  <c r="H166" i="4"/>
  <c r="I166" i="4"/>
  <c r="J166" i="4"/>
  <c r="F169" i="4"/>
  <c r="G169" i="4"/>
  <c r="H169" i="4"/>
  <c r="I169" i="4"/>
  <c r="E170" i="4"/>
  <c r="E171" i="4"/>
  <c r="E172" i="4"/>
  <c r="E174" i="4"/>
  <c r="E176" i="4"/>
  <c r="E178" i="4"/>
  <c r="E181" i="4"/>
  <c r="B192" i="4"/>
  <c r="F220" i="4"/>
  <c r="G220" i="4"/>
  <c r="H220" i="4"/>
  <c r="I220" i="4"/>
  <c r="J220" i="4"/>
  <c r="F222" i="4"/>
  <c r="G222" i="4"/>
  <c r="H222" i="4"/>
  <c r="I222" i="4"/>
  <c r="J222" i="4"/>
  <c r="F223" i="4"/>
  <c r="G223" i="4"/>
  <c r="H223" i="4"/>
  <c r="I223" i="4"/>
  <c r="J223" i="4"/>
  <c r="F224" i="4"/>
  <c r="G224" i="4"/>
  <c r="H224" i="4"/>
  <c r="I224" i="4"/>
  <c r="J224" i="4"/>
  <c r="F225" i="4"/>
  <c r="G225" i="4"/>
  <c r="H225" i="4"/>
  <c r="I225" i="4"/>
  <c r="J225" i="4"/>
  <c r="F228" i="4"/>
  <c r="G228" i="4"/>
  <c r="H228" i="4"/>
  <c r="I228" i="4"/>
  <c r="E229" i="4"/>
  <c r="E230" i="4"/>
  <c r="E231" i="4"/>
  <c r="E233" i="4"/>
  <c r="E235" i="4"/>
  <c r="E237" i="4"/>
  <c r="E239" i="4"/>
  <c r="E242" i="4"/>
  <c r="E254" i="4"/>
  <c r="F254" i="4"/>
  <c r="G254" i="4"/>
  <c r="H254" i="4"/>
  <c r="I254" i="4"/>
  <c r="J254" i="4"/>
  <c r="E257" i="4"/>
  <c r="F257" i="4"/>
  <c r="G257" i="4"/>
  <c r="H257" i="4"/>
  <c r="I257" i="4"/>
  <c r="J257" i="4"/>
  <c r="E258" i="4"/>
  <c r="F258" i="4"/>
  <c r="G258" i="4"/>
  <c r="H258" i="4"/>
  <c r="I258" i="4"/>
  <c r="J258" i="4"/>
  <c r="E261" i="4"/>
  <c r="F261" i="4"/>
  <c r="G261" i="4"/>
  <c r="H261" i="4"/>
  <c r="I261" i="4"/>
  <c r="J261" i="4"/>
  <c r="E264" i="4"/>
  <c r="F264" i="4"/>
  <c r="G264" i="4"/>
  <c r="H264" i="4"/>
  <c r="I264" i="4"/>
  <c r="E265" i="4"/>
  <c r="E266" i="4"/>
  <c r="E267" i="4"/>
  <c r="E272" i="4"/>
  <c r="E274" i="4"/>
  <c r="E276" i="4"/>
  <c r="E279"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Sarah Leonard</author>
  </authors>
  <commentList>
    <comment ref="A370" authorId="0" shapeId="0" xr:uid="{00000000-0006-0000-0200-000001000000}">
      <text>
        <r>
          <rPr>
            <sz val="8"/>
            <color indexed="81"/>
            <rFont val="Tahoma"/>
            <family val="2"/>
          </rPr>
          <t xml:space="preserve">Accounts Receivable Turnover
</t>
        </r>
      </text>
    </comment>
    <comment ref="A371" authorId="0" shapeId="0" xr:uid="{00000000-0006-0000-0200-000002000000}">
      <text>
        <r>
          <rPr>
            <sz val="8"/>
            <color indexed="81"/>
            <rFont val="Tahoma"/>
            <family val="2"/>
          </rPr>
          <t>Inventory Turnover</t>
        </r>
      </text>
    </comment>
    <comment ref="A372" authorId="0" shapeId="0" xr:uid="{00000000-0006-0000-0200-000003000000}">
      <text>
        <r>
          <rPr>
            <sz val="8"/>
            <color indexed="81"/>
            <rFont val="Tahoma"/>
            <family val="2"/>
          </rPr>
          <t>Fixed Asset Turnover</t>
        </r>
      </text>
    </comment>
  </commentList>
</comments>
</file>

<file path=xl/sharedStrings.xml><?xml version="1.0" encoding="utf-8"?>
<sst xmlns="http://schemas.openxmlformats.org/spreadsheetml/2006/main" count="1199" uniqueCount="817">
  <si>
    <t>Financial Statement Analysis Package (FSAP): Version 10.0</t>
  </si>
  <si>
    <t>Financial Reporting, Financial Statement Analysis, and Valuation: A Strategic Perspective, 10th Edition</t>
  </si>
  <si>
    <t>FSAP User Guides:</t>
  </si>
  <si>
    <t>By James Wahlen, Steve Baginski and Mark Bradshaw</t>
  </si>
  <si>
    <t xml:space="preserve">The FSAP user should only enter data in the blue-font cells shaded light green. </t>
  </si>
  <si>
    <t xml:space="preserve">The FSAP User Guides appear in column I to the right. </t>
  </si>
  <si>
    <t>The Data spreadsheet is designed for up to six years of financial statement data.  The user must input the most recent year of financial statement data in column G, regardless of the number of years of data inputted.</t>
  </si>
  <si>
    <t>The user must conform financial statement data to the FSAP template because the spreadsheets within FSAP use the Data spreadsheet as their base.  The user can, however, rename account titles as necessary to match the account titles of the particular firm. FSAP contains a number of general purpose accounts that can be renamed to fit the accounts of the particular firm (for example, Other Current Assets (1) and (2)).</t>
  </si>
  <si>
    <t>FSAP automatically computes the amounts of various sub-totals and totals within the Data spreadsheet.  These items are shaded in gray and serve in checking the mathematical accuracy of inputted amounts.  FSAP checks to ensure that total assets equal total liabilities and shareholders’ equity, that total revenues and gains minus total expenses and losses equal reported net income, and that cash flows from operating, investing, and financing activities equal the change in cash on the balance sheet.  These financial data checks appear at the bottom of the Data spreadsheet.  Any material non-zero amounts (that are not due to rounding) on these rows require the user to re-check amounts inputted to identify and correct the error.</t>
  </si>
  <si>
    <t>Analyst Name:</t>
  </si>
  <si>
    <t>Durdona Karimova &amp; Vincenzo Giordano</t>
  </si>
  <si>
    <t>Insert your name in column B.</t>
  </si>
  <si>
    <t>Company Name:</t>
  </si>
  <si>
    <t>L'Oreal</t>
  </si>
  <si>
    <t>Enter the name of the company in Column B.  This name will appear on the output of all spreadsheets within FSAP.</t>
  </si>
  <si>
    <t>Year (Most recent in far right column.)</t>
  </si>
  <si>
    <t xml:space="preserve">Throughout FSAP, enter amounts for account titles listed in brackets &lt;&gt; as negative numbers. Except for per share amounts, be consistent with the units of the amounts entered (for example, thosands or millions). </t>
  </si>
  <si>
    <t>BALANCE SHEET DATA</t>
  </si>
  <si>
    <t>Enter Balance Sheet Data:</t>
  </si>
  <si>
    <t>Assets:</t>
  </si>
  <si>
    <t>Cash and cash equivalents</t>
  </si>
  <si>
    <t>Marketable securities</t>
  </si>
  <si>
    <t>Accounts and notes receivable - net</t>
  </si>
  <si>
    <t>Inventories</t>
  </si>
  <si>
    <t>Prepaid expenses and other current assets</t>
  </si>
  <si>
    <t>Other current assets (1) - current tax assets</t>
  </si>
  <si>
    <t xml:space="preserve">Other current assets (1) and (2) can be renamed and used for different types of current assets for different firms. </t>
  </si>
  <si>
    <t>Other current assets (2)</t>
  </si>
  <si>
    <t xml:space="preserve">  Current Assets</t>
  </si>
  <si>
    <t>FSAP automatically computes the amount of total current assets.</t>
  </si>
  <si>
    <t>Investments in noncontrolled affiliates</t>
  </si>
  <si>
    <t>Property, plant, and equipment - at cost</t>
  </si>
  <si>
    <t>&lt;Accumulated depreciation&gt;</t>
  </si>
  <si>
    <t>Operating lease right-of-use assets</t>
  </si>
  <si>
    <t>Finance lease-right-of-use assets</t>
  </si>
  <si>
    <t>Goodwill</t>
  </si>
  <si>
    <t>Other nonamortizable intangible assets</t>
  </si>
  <si>
    <t>Deferred tax assets - non current</t>
  </si>
  <si>
    <t xml:space="preserve">Other noncurrent assets (1) and (2) can be renamed and used for different types of long term assets for different firms. </t>
  </si>
  <si>
    <t xml:space="preserve">Other long-term assets </t>
  </si>
  <si>
    <t xml:space="preserve">   Total Assets</t>
  </si>
  <si>
    <t>FSAP automatically computes the amount of total assets.</t>
  </si>
  <si>
    <t>Liabilities and Equities:</t>
  </si>
  <si>
    <t>Accounts payable</t>
  </si>
  <si>
    <t>Current accrued liabilities</t>
  </si>
  <si>
    <t>Current maturities of long-term debt</t>
  </si>
  <si>
    <t>Notes payable and short-term debt + Current maturities of long-term debt</t>
  </si>
  <si>
    <t>Operating lease obligations due within one year</t>
  </si>
  <si>
    <t>Provisions for liabilities and charges</t>
  </si>
  <si>
    <t>Income taxes payable</t>
  </si>
  <si>
    <t xml:space="preserve">Other current liabilities (1) and (2) can be renamed and used for different types of current liabilities for different firms. </t>
  </si>
  <si>
    <t>Other current liabilities (1)</t>
  </si>
  <si>
    <t xml:space="preserve">  Current Liabilities</t>
  </si>
  <si>
    <t>FSAP automatically computes the amount of total current liabilities.</t>
  </si>
  <si>
    <t>Long-term debt obligations</t>
  </si>
  <si>
    <t>Long-term operating lease obligations</t>
  </si>
  <si>
    <t xml:space="preserve">Other noncurrent liabilities (2) provisions for employees &amp; liabilities </t>
  </si>
  <si>
    <t>Deferred tax liabilities- noncurrent</t>
  </si>
  <si>
    <t xml:space="preserve">Other noncurrent liabilities (1) and (2) can be renamed and used for different types of non-current liabilities for different firms. </t>
  </si>
  <si>
    <t>Other noncurrent liabilities (1) - non current tax</t>
  </si>
  <si>
    <t xml:space="preserve">  Total Liabilities</t>
  </si>
  <si>
    <t>FSAP automatically computes the amount of total liabilitries.</t>
  </si>
  <si>
    <t>&lt;Treasury stock&gt; and other equity adjustments - other reserves</t>
  </si>
  <si>
    <t>Common stock + Capital in excess of par value</t>
  </si>
  <si>
    <t xml:space="preserve">Retained earnings </t>
  </si>
  <si>
    <t>Accumulated other comprehensive income</t>
  </si>
  <si>
    <t>The amount for this item appears either on the Balance Sheet or the Statement of Shareholders' Equity. Be sure to enter as a positive or negative amount as appropriate.</t>
  </si>
  <si>
    <t>Other reserves</t>
  </si>
  <si>
    <t xml:space="preserve">Include on this line any treasury stock accounts and any items that do not fall within some other shareholders' equity line.  Such items seldom appear in balance sheets of U.S. firms.  Amounts that increase (decrease) total shareholders' equity should be entered as positive (negative) amounts. </t>
  </si>
  <si>
    <t xml:space="preserve"> Total Common Shareholders' Equity</t>
  </si>
  <si>
    <t>FSAP automatically computes the amount of total shareholders' equity.</t>
  </si>
  <si>
    <t>Noncontrolling interests</t>
  </si>
  <si>
    <t xml:space="preserve">  Total Equity</t>
  </si>
  <si>
    <t xml:space="preserve">  Total Liabilities and Equities</t>
  </si>
  <si>
    <t>FSAP automatically computes the amount of total liabilities plus shareholders' equity.</t>
  </si>
  <si>
    <t>INCOME STATEMENT DATA</t>
  </si>
  <si>
    <t>Enter Income Statement Data:</t>
  </si>
  <si>
    <t>When entering income statement data, enter amounts that increase income (revenues, gains, income) as positive amounts, and enter amounts that decrease income (expenses, losses) as negative amounts.</t>
  </si>
  <si>
    <t>Net sales</t>
  </si>
  <si>
    <t>&lt;Cost of goods sold&gt;</t>
  </si>
  <si>
    <t xml:space="preserve">  Gross Profit</t>
  </si>
  <si>
    <t>FSAP automatically computes the amount of gross profit.</t>
  </si>
  <si>
    <t>&lt;Operating, selling, general and administrative expenses&gt;</t>
  </si>
  <si>
    <t>&lt;Research and development expenses&gt;</t>
  </si>
  <si>
    <t xml:space="preserve"> advertising expenses</t>
  </si>
  <si>
    <t>Add back: Imputed interest expense on operating lease obligations</t>
  </si>
  <si>
    <t>&lt;Other operating expenses (1)&gt;</t>
  </si>
  <si>
    <t xml:space="preserve">Other operating expenses (1), (2), and (3) can be renamed and used for different types of recurring operating expenses for different firms. </t>
  </si>
  <si>
    <t>&lt;Other operating expenses (2)&gt;</t>
  </si>
  <si>
    <t>Other operating income (1)</t>
  </si>
  <si>
    <t xml:space="preserve">Other operating income (1) and (2) can be renamed used for different sources of recurring operating income for different firms. </t>
  </si>
  <si>
    <t>Other operating income (2)</t>
  </si>
  <si>
    <t>Non-recurring operating gains &lt;losses&gt;</t>
  </si>
  <si>
    <t>The FSAP user must decide whether particular operating gains or losses are non-recurring - infrequent and unusual given the firm's business and operating environment.  If so, enter the amounts on the appropriate rows. Enter expense and loss amounts as negative numbers.</t>
  </si>
  <si>
    <t xml:space="preserve">  Operating Profit</t>
  </si>
  <si>
    <t>FSAP automatically computes the amount of operating profit.</t>
  </si>
  <si>
    <t>Interest income</t>
  </si>
  <si>
    <t>&lt;Interest expense on debt&gt; -interest expense</t>
  </si>
  <si>
    <t>&lt;Interest on finance leases&gt;</t>
  </si>
  <si>
    <t xml:space="preserve">Enter any amounts of income (or &lt;loss&gt;) from equity or noncontrolled affiliates. </t>
  </si>
  <si>
    <t>Subtract: Imputed interest expense on operating lease obligations</t>
  </si>
  <si>
    <t>Other income or gains &lt;Other expenses or losses&gt;</t>
  </si>
  <si>
    <t>Enter income or gain amounts (or expense or loss amounts as negative numbers) that are unusual and non-recurring and outside of normal business operations.</t>
  </si>
  <si>
    <t xml:space="preserve">  Income before Tax</t>
  </si>
  <si>
    <t xml:space="preserve">FSAP automatically computes the amount of income before tax. </t>
  </si>
  <si>
    <t>&lt;Income tax expense&gt;</t>
  </si>
  <si>
    <t>Enter the amount of income tax expense that appears on the income statement in the section for income from continuing operations.  If income tax expense reduces income, enter the amount as a negative number.</t>
  </si>
  <si>
    <t>Income &lt;Loss&gt; from discontinued operations</t>
  </si>
  <si>
    <t>Enter any amount reported in the separate section of the income statement labeled Discontinued Operations. The amount is reported net of tax effects.  Enter as a positive or negative number as appropriate.</t>
  </si>
  <si>
    <t>Extraordinary gains &lt;losses&gt;</t>
  </si>
  <si>
    <t>Enter any amount reported in the separate section of the income statement labeled Extraordinary Items.  The amount is reported net of taxes.  Enter as a positive or negative number as appropriate.</t>
  </si>
  <si>
    <t>Changes in accounting principles</t>
  </si>
  <si>
    <t>Enter any amount reported in the separate section of the income statement labeled Changes in Accounting Principles. The amount is reported net of income taxes. Enter as a positive or negative number as appropriate.</t>
  </si>
  <si>
    <t xml:space="preserve">  Net Income </t>
  </si>
  <si>
    <t>FSAP automatically computes the amount of net income using the above data for revenues, expenses, gains and losses.</t>
  </si>
  <si>
    <t>Net income attributable to noncontrolling interests</t>
  </si>
  <si>
    <t xml:space="preserve">Enter the amount of net income attributable to noncontrolling interests.  Enter amount as a negative number. If the firm reports a net loss attributable to noncontrolling interests, enter the amount as a positive number. </t>
  </si>
  <si>
    <t xml:space="preserve">  Net Income attributable to common shareholders</t>
  </si>
  <si>
    <t>Net Income (enter reported amount as a check)</t>
  </si>
  <si>
    <t>Enter the amount of reported net income on this line.  It will be used by FSAP to provide a mathematical check on the amounts of all revenues and expenses on preceding lines.</t>
  </si>
  <si>
    <t>Other comprehensive income items</t>
  </si>
  <si>
    <t>This amount usually appears in the Statement of Comprehensive Income.  Enter as a positive or negative number as appropriate.</t>
  </si>
  <si>
    <t>Comprehensive Income</t>
  </si>
  <si>
    <t>FSAP automatically computes the amount of comprehensive income.</t>
  </si>
  <si>
    <t>STATEMENT OF CASH FLOWS DATA</t>
  </si>
  <si>
    <t>Enter Statement of Cash Flows Data:</t>
  </si>
  <si>
    <t>In the Statement of Cash Flows Data, enter amounts reported on the firm's  statement of cash flows. Enter amounts that increase (decrease) cash as positive (negative) numbers. The row headings help indicate whether amounts should be positive or negative.</t>
  </si>
  <si>
    <t>Net Income</t>
  </si>
  <si>
    <t>FSAP automatically enters the Net Income amount computed above.</t>
  </si>
  <si>
    <t>Add back depreciation and amortization expenses</t>
  </si>
  <si>
    <t>Add back stock-based compensation expense</t>
  </si>
  <si>
    <t>Deferred income taxes</t>
  </si>
  <si>
    <t>&lt;Income from equity affiliates, net of dividends&gt;</t>
  </si>
  <si>
    <t>&lt;Increase&gt; Decrease in accounts receivable</t>
  </si>
  <si>
    <t>&lt;Increase&gt; Decrease in inventories</t>
  </si>
  <si>
    <t>&lt;Increase&gt; Decrease in prepaid expenses</t>
  </si>
  <si>
    <t>&lt;Increase&gt; Decrease in other current assets</t>
  </si>
  <si>
    <t>&lt;Increase&gt; Decrease in other noncurrent assets</t>
  </si>
  <si>
    <t>Increase &lt;Decrease&gt; in accounts payable</t>
  </si>
  <si>
    <t>Increase &lt;Decrease&gt; in income taxes payable</t>
  </si>
  <si>
    <t>Increase &lt;Decrease&gt; in accrued liabilities</t>
  </si>
  <si>
    <t>Increase &lt;Decrease&gt; in other noncurrent liabilities</t>
  </si>
  <si>
    <t>Losses on disposal of business operations</t>
  </si>
  <si>
    <t>Other operating cash flows</t>
  </si>
  <si>
    <t xml:space="preserve">  Net CF from Operating Activities</t>
  </si>
  <si>
    <t>FSAP automatically computes the amount of cash flow from operations.</t>
  </si>
  <si>
    <t>Proceeds from sales of property, plant, and equipment</t>
  </si>
  <si>
    <t>&lt;Property, plant, and equipment acquired&gt;</t>
  </si>
  <si>
    <t>&lt;Increase&gt; Decrease in marketable securities</t>
  </si>
  <si>
    <t>Investments sold</t>
  </si>
  <si>
    <t>&lt;Investments acquired&gt;</t>
  </si>
  <si>
    <t>Payments for acquisitions of intangible assets</t>
  </si>
  <si>
    <t xml:space="preserve">Other investment transactions </t>
  </si>
  <si>
    <t xml:space="preserve">  Net CF from Investing Activities</t>
  </si>
  <si>
    <t xml:space="preserve">FSAP automatically computes the amount of cash flow from investing activities. </t>
  </si>
  <si>
    <t>Increase &lt;Decrease&gt; in short-term borrowing</t>
  </si>
  <si>
    <t>Increase &lt;Decrease&gt; in long-term borrowing</t>
  </si>
  <si>
    <t>Issue of capital stock</t>
  </si>
  <si>
    <t>Proceeds from stock option exercises</t>
  </si>
  <si>
    <t>&lt;Share repurchases - treasury stock&gt;</t>
  </si>
  <si>
    <t>&lt;Dividend payments&gt;</t>
  </si>
  <si>
    <t>Dividends paid to noncontrolling interests</t>
  </si>
  <si>
    <t>Other financing activities</t>
  </si>
  <si>
    <t xml:space="preserve">  Net CF from Financing Activities</t>
  </si>
  <si>
    <t xml:space="preserve">FSAP automatically computes the amount of cash flow from financing activities. </t>
  </si>
  <si>
    <t>Effects of exchange rate changes on cash</t>
  </si>
  <si>
    <t xml:space="preserve">  Net Change in Cash</t>
  </si>
  <si>
    <t>FSAP automatically computes the net change in cash.</t>
  </si>
  <si>
    <t>Cash and cash equivalents, beginning of year</t>
  </si>
  <si>
    <t>Cash and cash equivalents, end of year</t>
  </si>
  <si>
    <t>SUPPLEMENTAL DATA</t>
  </si>
  <si>
    <t>Enter Supplemental Data:</t>
  </si>
  <si>
    <t>Statutory tax rate</t>
  </si>
  <si>
    <t>Enter the statutory income tax rate applicable to ordinary income and deductions (such as the deduction for interest expense). The Federal corporate income tax rate is currently 35 percent in the United States. Alternatively, one can  enter a statutory tax rate that captures the combined effects of Federal, state, and foreign income taxes. These rates are commonly disclosed in the tax note.</t>
  </si>
  <si>
    <t xml:space="preserve">Average tax rate implied from income statement data </t>
  </si>
  <si>
    <t>This rate is computed by FSAP as the ratio of the income tax expense to income before tax.</t>
  </si>
  <si>
    <t>After-tax effects of nonrecurring and unusual items on net income</t>
  </si>
  <si>
    <t xml:space="preserve">This row automatically sums the pre-tax amounts of unusual and nonrecurring items and the after-tax amounts of discontinued operatons, extraordinary items and changes in accounting principles from the income statement above. The analyst must then adjust the items that are stated in pre-tax amounts to an after-tax basis either by adjusting for the specific amounts of applicable tax (or tax savings) as disclosed by the firm, or if not disclosed, by adjusting these items for the statutory tax rate.  </t>
  </si>
  <si>
    <t>Depreciation expense</t>
  </si>
  <si>
    <t>Enter the amount of depreciation expense on property, plant and equipment. These amounts (if any) are usually disclosed either in the property, plant and equipment note or in a supplemental inforrmation note. If depreciation expense is not disclosed separately from amortization expense, enter depreciation plus amortization expense.</t>
  </si>
  <si>
    <t>Preferred stock dividends (total, if any)</t>
  </si>
  <si>
    <t>Enter the total amount of preferred stock dividends paid, if any.</t>
  </si>
  <si>
    <t>Common shares outstanding</t>
  </si>
  <si>
    <t>Enter the number of common shares outstanding at the end of each year.  Be sure to reduce the number of shares issued by the number of any shares held as treasury stock to arrive at the number of common shares outstanding.  The number of common shares outstanding should be expressed in the same numerical units (for example, thousands or millions) as the financial statement amounts entered in the preceding cells.</t>
  </si>
  <si>
    <t>Earnings per share (basic)</t>
  </si>
  <si>
    <t>Enter the amount that appears on the firm's income statement.</t>
  </si>
  <si>
    <t>Common dividends per share</t>
  </si>
  <si>
    <t>This cell computes common dividends per share by dividing the dividend payments from the cash flow statement by the number of outstanding shares. This assumes the firm pays immaterial preferred dividends. If that assumption does not hold, enter the amount of common dividends per share directly.</t>
  </si>
  <si>
    <t>Share price at fiscal year end</t>
  </si>
  <si>
    <t xml:space="preserve">This should be the closing market price per share on the last day of the firm's accounting period (usually December 31 of each year).  If stock markets are closed on the last day of the accounting period, use the closing price on the most recent trading day following the end of the period.  </t>
  </si>
  <si>
    <t>FINANCIAL DATA CHECKS</t>
  </si>
  <si>
    <t>Assets - Liabilities - Equities</t>
  </si>
  <si>
    <t xml:space="preserve">FSAP checks for an equality between total assets and total liabilities plus shareholders' equity. A non-zero amount in this row indicates a likely data input error in one or more balance sheet accounts. </t>
  </si>
  <si>
    <t>Net Income (computed) - Net Income (reported)</t>
  </si>
  <si>
    <t xml:space="preserve">FSAP checks that the inputted amounts of revenues and expenses equal the reported amount of net income.  A non-zero amount on this row likely indicates an input error in one or more income statement accounts.  </t>
  </si>
  <si>
    <t>Cash Changes</t>
  </si>
  <si>
    <t xml:space="preserve">FSAP checks that the change in cash on the statement of cash flows equals the change in cash on the balance sheet. A non-zero amount indicates either a data input error on one or more rows of the cash flow statement or the use of a different definition of cash on the two financial statements.  The user should identify the reason for and correct any non-zero amount. </t>
  </si>
  <si>
    <t xml:space="preserve">The FSAP User Guides appear in column J to the right. </t>
  </si>
  <si>
    <t>The Analysis worksheet in FSAP automatically computes a wide array of financial statement analysis ratios using the amounts entered on the Data worksheet.</t>
  </si>
  <si>
    <t xml:space="preserve">The FSAP User Guides next to each row provide brief descriptions of ratio computations. See the text for more in-depth discussion of how to compute and interpret each ratio. </t>
  </si>
  <si>
    <t>DATA CHECKS</t>
  </si>
  <si>
    <t xml:space="preserve">FSAP checks the Data worksheet for an equality between total assets and total liabilities plus shareholders' equity. A non-zero amount in this row indicates a likely data input error in one or more balance sheet accounts. </t>
  </si>
  <si>
    <t xml:space="preserve">FSAP checks whether the net income amounts determined by revenue and expense amounts entered in the Data worksheet equal the reported amount of net income.  A non-zero amount on this row likely indicates an input error in one or more income statement accounts.  </t>
  </si>
  <si>
    <t xml:space="preserve">FSAP checks that the change in cash on the statement of cash flows equals the change in cash on the balance sheet in the Data worksheet. A non-zero amount indicates either a data input error on one or more rows of the cash flow statement or the use of a different definition of cash on the two financial statements.  The user should identify the reason for and correct any non-zero amount. </t>
  </si>
  <si>
    <t>In the computations below, a #DIV/0! message indicates that a ratio denominator is zero.</t>
  </si>
  <si>
    <t>PROFITABILITY FACTORS:</t>
  </si>
  <si>
    <t>Profitability Factors:</t>
  </si>
  <si>
    <t>Year</t>
  </si>
  <si>
    <t>RETURN ON ASSETS (based on reported amounts):</t>
  </si>
  <si>
    <t xml:space="preserve">Return on assets measures the rate of return the firm earns per average dollar invested in assets. </t>
  </si>
  <si>
    <t xml:space="preserve">  Profit Margin for ROA</t>
  </si>
  <si>
    <t xml:space="preserve">Profit margin for ROA measures how much profitability the firm derives from its revenues. For this ratio, profitability is measured before the effects of financing costs (after tax) and minority interest in earnings. </t>
  </si>
  <si>
    <t>x Asset Turnover</t>
  </si>
  <si>
    <t xml:space="preserve">Asset turnover measures how efficiently the firm uses its assets to generate sales. It measures the number of sales dollars generated per average dollar invested in assets. </t>
  </si>
  <si>
    <t>= Return on Assets</t>
  </si>
  <si>
    <t xml:space="preserve">Rate of return on assets is the product of the firm's profitability and its efficiency. </t>
  </si>
  <si>
    <t>RETURN ON ASSETS (excluding the effects of nonrecurring items):</t>
  </si>
  <si>
    <t xml:space="preserve">See the preceding FSAP User Guides on ROA. </t>
  </si>
  <si>
    <t xml:space="preserve">These computations of ROA exclude the after-tax effects of nonrecurring items in income to measure the firm's persistent ROA. </t>
  </si>
  <si>
    <t>RETURN ON COMMON EQUITY (based on reported amounts):</t>
  </si>
  <si>
    <t xml:space="preserve">Return on common  equity measures the rate of return the firm earns per average dollar in common shareholders' equity. </t>
  </si>
  <si>
    <t xml:space="preserve">  Profit Margin for ROCE</t>
  </si>
  <si>
    <t xml:space="preserve">Profit margin for ROCE measures the net profit margin per dollar of sales. Profit margin for ROCE is measured after deducting any preferred dividends from net income, in order to compute the amount of net income available to common equity shareholders. </t>
  </si>
  <si>
    <t>x Capital Structure Leverage</t>
  </si>
  <si>
    <t xml:space="preserve">Capital structure leverage measures the average amount invested in assets divided by the average amount financed by common equity shareholders. </t>
  </si>
  <si>
    <t>= Return on Common Equity</t>
  </si>
  <si>
    <t xml:space="preserve">Rate of return on common equity is the product of the firm's profitability, efficiency, and leverage. </t>
  </si>
  <si>
    <t>RETURN ON COMMON EQUITY (excluding the effects of nonrecurring items):</t>
  </si>
  <si>
    <t xml:space="preserve">See the preceding FSAP User Guides on ROCE. </t>
  </si>
  <si>
    <t xml:space="preserve">These computations of ROCE exclude the after-tax effects of nonrecurring items in income to measure the firm's persistent ROCE. </t>
  </si>
  <si>
    <t>OPERATING PERFORMANCE:</t>
  </si>
  <si>
    <t>Gross Profit / Revenues</t>
  </si>
  <si>
    <t>Gross profit margin as a percent of revenues.</t>
  </si>
  <si>
    <t>Operating Profit / Revenues</t>
  </si>
  <si>
    <t xml:space="preserve">Operating income as a percent of revenues. </t>
  </si>
  <si>
    <t>Net Income / Revenues</t>
  </si>
  <si>
    <t>Net income as a percent of revenues.</t>
  </si>
  <si>
    <t>Comprehensive Income / Revenues</t>
  </si>
  <si>
    <t>Comprehensive income as a percent of revenues.</t>
  </si>
  <si>
    <t>PERSISTENT OPERATING PERFORMANCE (excluding the effects of nonrecurring items):</t>
  </si>
  <si>
    <t>Persistent Operating Profit / Revenues</t>
  </si>
  <si>
    <t xml:space="preserve">Operating income as a percent of revenues after excluding the effects of non-recurring operating income items (such as non-recurring operating expenses and losses).  </t>
  </si>
  <si>
    <t>Persistent Net Income / Revenues</t>
  </si>
  <si>
    <t>Net income as a percent of revenues, after excluding the effects of non-recurring items in income.</t>
  </si>
  <si>
    <t>GROWTH:</t>
  </si>
  <si>
    <t>Revenue Growth</t>
  </si>
  <si>
    <t>Year-on-year growth rate in revenues.</t>
  </si>
  <si>
    <t>Net Income Growth</t>
  </si>
  <si>
    <t>Year-on-year growth rate in net income.</t>
  </si>
  <si>
    <t>Persistent Net Income Growth</t>
  </si>
  <si>
    <t>Year-on-year growth rate in net income, after excluding the effects of non-recurring items in income.</t>
  </si>
  <si>
    <t>OPERATING CONTROL:</t>
  </si>
  <si>
    <t>Gross Profit Control Index</t>
  </si>
  <si>
    <t>The rate of change in gross profit relative to the rate of change in revenues.</t>
  </si>
  <si>
    <t>Operating Profit Contol Index</t>
  </si>
  <si>
    <t>The rate of change in operating income relative to the rate of change in revenues.</t>
  </si>
  <si>
    <t>Profit Margin Decomposition:</t>
  </si>
  <si>
    <t>Gross Profit Margin</t>
  </si>
  <si>
    <t>Operating Profit Index</t>
  </si>
  <si>
    <t>Operating profit as a percent of gross profit. The complement of this percentage is the percent of gross profit absorbed by overhead and operating expenses.</t>
  </si>
  <si>
    <t>Leverage Index</t>
  </si>
  <si>
    <t xml:space="preserve">Income before tax as a percent of operating profit. The complement of this percentage is the percent of operating profit absorbed by (net) financing costs. If this index is great than 100%, it implies financing income (interest income, income from equity affiliates) exceeds financing costs (interest expense). </t>
  </si>
  <si>
    <t>Tax Index</t>
  </si>
  <si>
    <t xml:space="preserve">Net income as a percent of income before tax. The complement of this percentage is the average effective tax rate. This index is also affected by items such as extraordinary gains and losses, discontinued operations, and changes in accounting principles. </t>
  </si>
  <si>
    <t>Net Profit Margin</t>
  </si>
  <si>
    <t xml:space="preserve">Net income as a percent of revenues. The net profit margin will also equal the product of the gross profit margin times the operating profit index, the leverage index and the tax index. </t>
  </si>
  <si>
    <t>Comprehensive Income Performance:</t>
  </si>
  <si>
    <t>Comprehensive Income Index</t>
  </si>
  <si>
    <t xml:space="preserve">Comprehensive income as a percent of net income. </t>
  </si>
  <si>
    <t>Comprehensive Income Margin</t>
  </si>
  <si>
    <t xml:space="preserve">Comprehensive income as a percent of revenues. </t>
  </si>
  <si>
    <t>RISK FACTORS:</t>
  </si>
  <si>
    <t>Risk Factors:</t>
  </si>
  <si>
    <t>LIQUIDITY:</t>
  </si>
  <si>
    <t>Current Ratio</t>
  </si>
  <si>
    <t>Current assets divided by current liabilities.</t>
  </si>
  <si>
    <t>Quick Ratio</t>
  </si>
  <si>
    <t xml:space="preserve">More liquid current assets (cash and cash equivalents, marketable securities, accounts receivable) divided by current liabilities. </t>
  </si>
  <si>
    <t>Operating Cash Flow to Current Liabilities</t>
  </si>
  <si>
    <t xml:space="preserve">Operating cash flows divided by the average amount of current liabilities. </t>
  </si>
  <si>
    <t>ASSET TURNOVER:</t>
  </si>
  <si>
    <t>Accounts Receivable Turnover</t>
  </si>
  <si>
    <t xml:space="preserve">Total revenues divided by the average balance in accounts receivable. </t>
  </si>
  <si>
    <t xml:space="preserve">   Days Receivables Held</t>
  </si>
  <si>
    <t>The number of days in receivables is measured as 365 divided by the accounts receivable turnover rate. This measures the average number of days to collect receivables.</t>
  </si>
  <si>
    <t>Inventory Turnover</t>
  </si>
  <si>
    <t>Cost of goods sold divided by the average amaount of inventory.</t>
  </si>
  <si>
    <t xml:space="preserve">   Days Inventory Held</t>
  </si>
  <si>
    <t>The number of days in inventory is measured as 365 divided by the inventory turnover rate. This measures the average number of days to make and sell inventory.</t>
  </si>
  <si>
    <t>Accounts Payable Turnover</t>
  </si>
  <si>
    <t>Inventory purchases (computed as cost of goods sold plus the change in inventory) divided by the average amount in accounts payable.</t>
  </si>
  <si>
    <t xml:space="preserve">   Days Payables Held</t>
  </si>
  <si>
    <t>The number of days in payables is measured as 365 divided by the accounts payable turnover rate. This measures the average number of days to pay payables.</t>
  </si>
  <si>
    <t>Net Working Capital Days</t>
  </si>
  <si>
    <t xml:space="preserve">Net working capital days measures the number of days to make and sell inventory plus the number of days to collect receivables, minus the number of days to pay payables. </t>
  </si>
  <si>
    <t>Revenues / Average Net Fixed Assets</t>
  </si>
  <si>
    <t xml:space="preserve">Total revenues divided by the average balance in net property, plant, and equipment. This measures efficiency is using fixed assets to generate revenues. </t>
  </si>
  <si>
    <t>Cash Turnover</t>
  </si>
  <si>
    <t xml:space="preserve">Revenues divided by the average cash balance. </t>
  </si>
  <si>
    <t xml:space="preserve">  Days Sales Held in Cash</t>
  </si>
  <si>
    <t xml:space="preserve">The number of days sales held in cash is measured as 365 divided by the cash turnover rate. It measures the average number of days of sales held in cash and cash equivalents. </t>
  </si>
  <si>
    <t>SOLVENCY:</t>
  </si>
  <si>
    <t>Total Liabilities / Total Assets</t>
  </si>
  <si>
    <t xml:space="preserve">This ratio measures the percentage of total ssets financed by total liabilities. </t>
  </si>
  <si>
    <t>Total Liabilities / Total Equity</t>
  </si>
  <si>
    <t>This debt/equity ratio measures total liabiliteis as a percent of common shareholders' equity.</t>
  </si>
  <si>
    <t>LT Debt / LT Capital</t>
  </si>
  <si>
    <t>This ratio measures the percent of debt financing relative to total long term capital (long term debt plus commmon shareholders' equity).</t>
  </si>
  <si>
    <t>LT Debt / Total Equity</t>
  </si>
  <si>
    <t>This ratio measures the percent of long term debt financing relative to commmon shareholders' equity.</t>
  </si>
  <si>
    <t>Operating Cash Flow to Total Liabilities</t>
  </si>
  <si>
    <t>Operating cash flows divided by the average amount of total liabilities.</t>
  </si>
  <si>
    <t>Interest Coverage Ratio (reported amounts)</t>
  </si>
  <si>
    <t>Net income before interest expense, income taxes, and minority interest in income, divided by interest expense.</t>
  </si>
  <si>
    <t>Interest Coverage ratio (recurring amounts)</t>
  </si>
  <si>
    <t>Net income before interest expense, income taxes, minority interest in income, and non-recurring items divided by interest expense.</t>
  </si>
  <si>
    <t>Bankruptcy Predictors:</t>
  </si>
  <si>
    <t>Altman Z Score</t>
  </si>
  <si>
    <t xml:space="preserve">The Altman Z-score is a multivariate predictor of bankruptcy. </t>
  </si>
  <si>
    <t xml:space="preserve">   Bankruptcy Probability</t>
  </si>
  <si>
    <t>The probability of bankruptcy over the next two years as indicated by the Altman Z-score.</t>
  </si>
  <si>
    <t>Earnings Manipulation Predictors:</t>
  </si>
  <si>
    <t>Beneish Earnings Manipulation Score</t>
  </si>
  <si>
    <t xml:space="preserve">The Beneish Earnings Manipulation Score is a multivariate indicator of the likelihood reported earnings numbers have been fraudulently manipulated. </t>
  </si>
  <si>
    <t xml:space="preserve">   Earnings Manipulation Probability</t>
  </si>
  <si>
    <t xml:space="preserve">The probability of earnings manipulation given the Beneish Earnings Manipulation Score. </t>
  </si>
  <si>
    <t>DIVIDEND and STOCK MARKET-BASED RATIOS:</t>
  </si>
  <si>
    <t>Stock Returns</t>
  </si>
  <si>
    <t xml:space="preserve">Stock returns measure fiscal year-end share price plus dividends divided by beginning of year share price. </t>
  </si>
  <si>
    <t>Price-Earnings Ratio (reported amounts)</t>
  </si>
  <si>
    <t xml:space="preserve">Fiscal year-end share price divided by earnings per share. </t>
  </si>
  <si>
    <t>Price-Earnings Ratio (recurring amounts)</t>
  </si>
  <si>
    <t xml:space="preserve">Fiscal year-end share price divided by earnings per share after excluding the per-share effects of non-recurring items in income. </t>
  </si>
  <si>
    <t>Market Value to Book Value Ratio</t>
  </si>
  <si>
    <t xml:space="preserve">Market value of common equity divided by book value of common equity. </t>
  </si>
  <si>
    <t>Common Dividends per Share</t>
  </si>
  <si>
    <t>Common Dividend Payout (% of Net Income)</t>
  </si>
  <si>
    <t>Common Dividend Yield (% of Share Price)</t>
  </si>
  <si>
    <t>INCOME STATEMENT ITEMS AS A PERCENT OF REVENUES:</t>
  </si>
  <si>
    <t>Common-Sized Income Statements:</t>
  </si>
  <si>
    <t xml:space="preserve">All of the common-size income statement ratios measure a particular income amount as a percent of total revenues. </t>
  </si>
  <si>
    <t>INCOME STATEMENT ITEMS: GROWTH RATES</t>
  </si>
  <si>
    <t>Income Statement Growth Rates:</t>
  </si>
  <si>
    <t>COMPOUND</t>
  </si>
  <si>
    <t>GROWTH</t>
  </si>
  <si>
    <t>YEAR TO YEAR GROWTH RATES:</t>
  </si>
  <si>
    <t>RATE</t>
  </si>
  <si>
    <t xml:space="preserve">The year-on-year growth rates indicate the annual rate of growth in a particular income item. </t>
  </si>
  <si>
    <t xml:space="preserve">The compound growth rates indicate the average compounded rate of growth in a particular income item over the five-year data period (six years of data yield five periods of growth). If fewer than six year of data have been entered into the Data Worksheet, these compounded growth rate computations should be revised to measure compounded growth over the period for which data are available.  </t>
  </si>
  <si>
    <t>COMMON SIZE BALANCE SHEET - AS A PERCENT OF TOTAL ASSETS</t>
  </si>
  <si>
    <t>Common-Sized Balance Sheets:</t>
  </si>
  <si>
    <t xml:space="preserve">All of the common-size balance sheet ratios measure a particular balance sheet amount as a percent of total assets. </t>
  </si>
  <si>
    <t>BALANCE SHEET ITEMS: GROWTH RATES</t>
  </si>
  <si>
    <t>Balance Sheet Growth Rates:</t>
  </si>
  <si>
    <t xml:space="preserve">The year-on-year growth rates indicate the annual rate of growth in a particular balance sheet item. </t>
  </si>
  <si>
    <t xml:space="preserve">The compound growth rates indicate the average compounded rate of growth in a particular balance sheet item over the five-year data period (six years of data yield five periods of growth). If fewer than six year of data have been entered into the Data Worksheet, these compounded growth rate computations should be revised to measure compounded growth over the period for which data are available.  </t>
  </si>
  <si>
    <t>RETURN ON ASSETS ANALYSIS (excluding the effects of non-recurring items)</t>
  </si>
  <si>
    <t>Decomposition of ROA and ROCE:</t>
  </si>
  <si>
    <t xml:space="preserve">This schematic provides a decomposition of ROA and ROCE into component ratios that determine ROA and ROCE. </t>
  </si>
  <si>
    <t>Level 1</t>
  </si>
  <si>
    <t>RETURN ON ASSETS</t>
  </si>
  <si>
    <t>Level 2</t>
  </si>
  <si>
    <t>PROFIT MARGIN FOR ROA</t>
  </si>
  <si>
    <t>ASSET TURNOVER</t>
  </si>
  <si>
    <t>Level 3</t>
  </si>
  <si>
    <t>Turnovers:</t>
  </si>
  <si>
    <t xml:space="preserve">Level 3 component ratios provide more detail about components of income that affect the profit margin for ROA as well as turnover ratios for specific assets. </t>
  </si>
  <si>
    <t>Receivables</t>
  </si>
  <si>
    <t>Inventory</t>
  </si>
  <si>
    <t>Fixed Assets</t>
  </si>
  <si>
    <r>
      <t>Profit Margin for ROA</t>
    </r>
    <r>
      <rPr>
        <b/>
        <vertAlign val="superscript"/>
        <sz val="8"/>
        <rFont val="Arial"/>
        <family val="2"/>
      </rPr>
      <t>*</t>
    </r>
  </si>
  <si>
    <r>
      <t>*</t>
    </r>
    <r>
      <rPr>
        <b/>
        <sz val="8"/>
        <rFont val="Arial"/>
        <family val="2"/>
      </rPr>
      <t>Amounts do not sum.</t>
    </r>
  </si>
  <si>
    <t>RETURN ON COMMON SHAREHOLDERS' EQUITY ANALYSIS (excluding the effects of non-recurring items)</t>
  </si>
  <si>
    <t>RETURN ON COMMON SHAREHOLDERS' EQUITY</t>
  </si>
  <si>
    <t>PROFIT MARGIN FOR ROCE</t>
  </si>
  <si>
    <t>CAPITAL STRUCTURE LEVERAGE</t>
  </si>
  <si>
    <t>RETURN ON COMMON SHAREHOLDERS' EQUITY ANALYSIS: Alternative Approach to Disaggregation</t>
  </si>
  <si>
    <t>ROCE</t>
  </si>
  <si>
    <t>INPUT VARIABLES</t>
  </si>
  <si>
    <t>Total Revenues</t>
  </si>
  <si>
    <t>Net Operating Profit After Tax (NOPAT)</t>
  </si>
  <si>
    <t>Net Financing Expense After Tax</t>
  </si>
  <si>
    <t>Average Net Operating Assets</t>
  </si>
  <si>
    <t>Average Financing Obligations</t>
  </si>
  <si>
    <t>Average Common Equity</t>
  </si>
  <si>
    <t>Profit margin for operating ROA</t>
  </si>
  <si>
    <t>Net operating asset turnover</t>
  </si>
  <si>
    <t>Operating ROA (NOPAT/Average NOA)</t>
  </si>
  <si>
    <t>Net Borrowing Rate</t>
  </si>
  <si>
    <t>Spread</t>
  </si>
  <si>
    <t>Leverage</t>
  </si>
  <si>
    <t>Leverage*Spread</t>
  </si>
  <si>
    <t>ROCE = Operating ROA+Leverage*Spread</t>
  </si>
  <si>
    <t>STATEMENT OF CASH FLOWS: SUMMARY</t>
  </si>
  <si>
    <t>Summary Statement of Cash Flows:</t>
  </si>
  <si>
    <t xml:space="preserve">The Summary Statement of Cash Flows provides an aggregated summation of the major sources of cash inflows and outlfows. </t>
  </si>
  <si>
    <t xml:space="preserve">While the Statement of Cash Flows provides useful detail on specific cash inflows and outflows, this aggegation provide a high-level summary of major categories of cash being generated and used. This aggregation reveals quickly how cash is being generated and how cash is being used. </t>
  </si>
  <si>
    <t>Operating Activities:</t>
  </si>
  <si>
    <t>Net cash flows for working capital</t>
  </si>
  <si>
    <t>Other net addbacks/subtractions</t>
  </si>
  <si>
    <t>Investing Activities:</t>
  </si>
  <si>
    <t>Capital expenditures (net)</t>
  </si>
  <si>
    <t>Investments</t>
  </si>
  <si>
    <t>Other investing transactions</t>
  </si>
  <si>
    <t>Financing Activities:</t>
  </si>
  <si>
    <t>Net proceeds from short-term borrowing</t>
  </si>
  <si>
    <t>Net proceeds from long-term borrowing</t>
  </si>
  <si>
    <t>Net proceeds from share issues and repurchases</t>
  </si>
  <si>
    <t>Dividends</t>
  </si>
  <si>
    <t>Other financing transactions</t>
  </si>
  <si>
    <t>By James Wahlen, Steve Baginski, and Mark Bradshaw</t>
  </si>
  <si>
    <t xml:space="preserve">The FSAP User Guides appear in column L to the right. </t>
  </si>
  <si>
    <t>A Comment on Entering Forecast Assumptions:</t>
  </si>
  <si>
    <t xml:space="preserve">This worksheet allows the FSAP user to build forecasts of future income statements, balance sheets, and statements of cash flows. FSAP automatically enters data from the DATA spreadsheet for the most recent three years in columns B, C, and D.  This worksheet allows the user flexibility to compute forecast amounts for each income statement and balance sheet account. For each account, the user should enter the forecast computations in the first row (highlighted in green with bold blue font). In the second row for each account, the user can enter forecast assumption parameters (such as growth rates or percentages) to be used in the forecast computations. In the third row for each account, the user can enter a brief explanatory note to explain the forecast assumptions.  The FSAP user can also develop more detailed computations of forecast amounts in the Forecast Development worksheet, and incorporate those forecast amounts by referencing them here in the Forecasts worksheet. </t>
  </si>
  <si>
    <t>FSAP OUTPUT:</t>
  </si>
  <si>
    <t>FINANCIAL STATEMENT FORECASTS</t>
  </si>
  <si>
    <t>Row Format:</t>
  </si>
  <si>
    <t>Actual Amounts</t>
  </si>
  <si>
    <t>Forecast Amounts</t>
  </si>
  <si>
    <t>Year +6 and beyond:</t>
  </si>
  <si>
    <t>A Comment on Forecasts for Year +6 and Beyond:</t>
  </si>
  <si>
    <t>Common Size Percentage</t>
  </si>
  <si>
    <t>Forecast assumption</t>
  </si>
  <si>
    <t>Long-Run Growth Rate:</t>
  </si>
  <si>
    <t xml:space="preserve">For long-run forecast amounts, the FSAP user needs to enter a long-run growth rate assumption. FSAP will automatically use that growth rate to compute forecast amounts for all of the accounts for Year +6 and beyond.  The FSAP user should not alter the specific forecast computations for any of the accounts for Year +6 and beyond. The FSAP user must be sure to enter the same long run growth rate assumption as a valuation parameter in the Valuation spreadsheet. </t>
  </si>
  <si>
    <t>Rate of Change Percentage</t>
  </si>
  <si>
    <t>Forecast assumption explanation</t>
  </si>
  <si>
    <t>Long-Run Growth Factor:</t>
  </si>
  <si>
    <t xml:space="preserve">Historical Figures: </t>
  </si>
  <si>
    <t>Forecasts:</t>
  </si>
  <si>
    <t>Year +1</t>
  </si>
  <si>
    <t>Year +2</t>
  </si>
  <si>
    <t>Year +3</t>
  </si>
  <si>
    <t>Year +4</t>
  </si>
  <si>
    <t>Year +5</t>
  </si>
  <si>
    <t>Year +6</t>
  </si>
  <si>
    <t>INCOME STATEMENT</t>
  </si>
  <si>
    <t xml:space="preserve">Income Statement Default Assumptions: </t>
  </si>
  <si>
    <t>common size</t>
  </si>
  <si>
    <t>The FSAP Forecasts worksheet defaults to assume that each income statement line item will remain the same percent of total revenues as in the most current year.  The FSAP user must either accept this default as a reasonable expectation or override it and enter more reasonable forecast assumptions.</t>
  </si>
  <si>
    <t>rate of change</t>
  </si>
  <si>
    <t>Assume steady 8.0% revenue growth.</t>
  </si>
  <si>
    <t>Assume steady cost of goods sold as a percent of sales.</t>
  </si>
  <si>
    <t>Assume steady SG&amp;A expense as a percent of sales.</t>
  </si>
  <si>
    <t>Explain assumptions.</t>
  </si>
  <si>
    <t>Weighted average interest rate on average operating lease obligations.</t>
  </si>
  <si>
    <t>Explain assumptions</t>
  </si>
  <si>
    <t>Assume 1.5% interest earned on average balance in cash.</t>
  </si>
  <si>
    <t>Weighted average interest rate on average interest-bearing debt.</t>
  </si>
  <si>
    <t>Weighted average interest rate on average finance lease obligations.</t>
  </si>
  <si>
    <t>Assume no recurring other income items.</t>
  </si>
  <si>
    <t>Assume effective income tax rate equal to the past three-year average.</t>
  </si>
  <si>
    <t>Assume no additional discontinued operations.</t>
  </si>
  <si>
    <t xml:space="preserve">Assume noncontrolling interests earn a 5.0% rate of return. </t>
  </si>
  <si>
    <t>Assume random walk with mean zero.</t>
  </si>
  <si>
    <t>Common Size Percent</t>
  </si>
  <si>
    <t>Rate of Change Percent</t>
  </si>
  <si>
    <t xml:space="preserve">Balance Sheet Default Assumptions: </t>
  </si>
  <si>
    <t xml:space="preserve">The FSAP Forecasts worksheet defaults to assume that each balance sheet item (except retained earnngs) will remain the same percent of total assets as in the most current year.  The FSAP user must either accept this default as a reasonable expectation or override it and enter more reasonable forecast assumptions.  </t>
  </si>
  <si>
    <t>BALANCE SHEET</t>
  </si>
  <si>
    <t>ASSETS:</t>
  </si>
  <si>
    <t>Assume accounts receivable grow at the same rate as sales.</t>
  </si>
  <si>
    <t>Assume growth with sales.</t>
  </si>
  <si>
    <t>PP&amp;E assumptions - see schedule in forecast development</t>
  </si>
  <si>
    <t>See depreciation schedule in forecast development worksheet.</t>
  </si>
  <si>
    <t>Assume growth with growth in PP&amp;E.</t>
  </si>
  <si>
    <t>Stable 1.8% of assets</t>
  </si>
  <si>
    <t>LIABILITIES:</t>
  </si>
  <si>
    <t>Assume steady 3% growth.</t>
  </si>
  <si>
    <t>Assume growth with leases, which grow with PP&amp;E.</t>
  </si>
  <si>
    <t>Assume 0.5% of total assets</t>
  </si>
  <si>
    <t>Assume 1.75% of total assets</t>
  </si>
  <si>
    <t>SHAREHOLDERS' EQUITY</t>
  </si>
  <si>
    <t>Assume no preferred stock issued.</t>
  </si>
  <si>
    <t>Assume 2% growth, consistent with compund rate of growth over the prior 5 years.</t>
  </si>
  <si>
    <t>Add net income and subtract dividends and share repurchases; see forecast box below.</t>
  </si>
  <si>
    <t>Add accumulated other comprehensive income items from income statement</t>
  </si>
  <si>
    <t>Assume flat growth</t>
  </si>
  <si>
    <t xml:space="preserve">Assume earnings attributable to noncontrolling interests paid in dividends. </t>
  </si>
  <si>
    <t>Check figures: Balance Sheet A=L+OE?</t>
  </si>
  <si>
    <t>These check figures should be zero, indicating the total assets on the  balance sheet balances with the total liabilities and shareholders' equity. If a check figure is not zero, it indicates one or more errors either on the balance sheet or in the plug figure used to balance the balance sheet. The user must find and correct any errors.</t>
  </si>
  <si>
    <t>Initial adjustment needed to balance the balance sheet:</t>
  </si>
  <si>
    <t xml:space="preserve">A Comment on Balancing the Balance Sheet: </t>
  </si>
  <si>
    <t>The Forecasts spreadsheet is programmed to balance the balance sheet by adjusting treasury stock purchases (see forecast box below). The user can alter this assumption by reprogamming the computations to adjust an alternate flexible financial account.</t>
  </si>
  <si>
    <t>The initial adjustment to balance the balance sheet is computed as total assets minus total liabilities and shareholders equity before any adjustments. The initial adjustment amount is then used to adjust treasury stock purchases so that total assets equal total liabilities and equities.</t>
  </si>
  <si>
    <t>Dividends and share repurchases forecasts:</t>
  </si>
  <si>
    <t xml:space="preserve">Negative adjustment amounts indicate the firm has excess capital and can increase treasury stock purchases.  Positive amounts indicate that the firm needs more capital to balance the balance sheet, so treasury stoick purchases have to be reduced, or additional equity capital must be issued.  </t>
  </si>
  <si>
    <t>Common dividends:</t>
  </si>
  <si>
    <t>Assume average payout rate for the last 5 years</t>
  </si>
  <si>
    <t>Share repurchases</t>
  </si>
  <si>
    <t xml:space="preserve">Assume 6,000 in share repurchases per year. </t>
  </si>
  <si>
    <t>Total dividends:</t>
  </si>
  <si>
    <t>Total dividends and share repurchases forecast amounts.</t>
  </si>
  <si>
    <t xml:space="preserve">Flexible Financial Account: </t>
  </si>
  <si>
    <t>Additional Dividends and Share Repurchases</t>
  </si>
  <si>
    <t xml:space="preserve">Original Forecast Amounts: </t>
  </si>
  <si>
    <t>Initial assumption - zero additional dividends.</t>
  </si>
  <si>
    <t>Implied adjustments:</t>
  </si>
  <si>
    <t>Adjustment needed to balance the balance sheet, from above.</t>
  </si>
  <si>
    <t>Total:</t>
  </si>
  <si>
    <t>Additional dividend payments and share repurchases.</t>
  </si>
  <si>
    <t>Historical Figures:</t>
  </si>
  <si>
    <t>Implied Statements of Cash Flows:</t>
  </si>
  <si>
    <t>IMPLIED STATEMENT OF CASH FLOWS</t>
  </si>
  <si>
    <t>The following implied statements of cash flows are derived from the above income statements and balance sheets. They are not the reported statements of cash flows.</t>
  </si>
  <si>
    <t>Add back depreciation expense (net)</t>
  </si>
  <si>
    <t>This row approximates depreciation expense using the change in accumulated depreciation.</t>
  </si>
  <si>
    <t>Add back amortization expense (net)</t>
  </si>
  <si>
    <t>This row includes amortization expense on amortizable intangible assets.</t>
  </si>
  <si>
    <t>&lt;Increase&gt; Decrease in receivables - net</t>
  </si>
  <si>
    <t>&lt;Increase&gt; Decrease in other current assets (1)</t>
  </si>
  <si>
    <t>&lt;Increase&gt; Decrease in other current assets (2)</t>
  </si>
  <si>
    <t>Increase &lt;Decrease&gt; in accounts payable - trade</t>
  </si>
  <si>
    <t>Increase &lt;Decrease&gt; in current accrued liabilities</t>
  </si>
  <si>
    <t>Increase &lt;Decrease&gt; in other current liabilities (1)</t>
  </si>
  <si>
    <t>Increase &lt;Decrease&gt; in deferred tax asset and liabilities (net)</t>
  </si>
  <si>
    <t>Increase &lt;Decrease&gt; in other noncurrent liabilities (1)</t>
  </si>
  <si>
    <t xml:space="preserve">  Net Cash Flows from Operations</t>
  </si>
  <si>
    <t>&lt;Increase&gt; Decrease in property, plant, &amp; equip. at cost</t>
  </si>
  <si>
    <t>&lt;Increase&gt; Decrease in operating lease assets</t>
  </si>
  <si>
    <t>&lt;Increase&gt; Decrease in finance lease right-of-use assets</t>
  </si>
  <si>
    <t>&lt;Increase&gt; Decrease in goodwill</t>
  </si>
  <si>
    <t>&lt;Increase&gt; Decrease in other non-amortizable intangible assets</t>
  </si>
  <si>
    <t xml:space="preserve">&lt;Increase&gt; Decrease in other assets </t>
  </si>
  <si>
    <t>&lt;Increase&gt; Decrease in other assets (2)</t>
  </si>
  <si>
    <t xml:space="preserve">  Net Cash Flows from Investing Activities</t>
  </si>
  <si>
    <t>Increase &lt;Decrease&gt; in short-term debt</t>
  </si>
  <si>
    <t>Increase &lt;Decrease&gt; in long-term debt</t>
  </si>
  <si>
    <t>Increase &lt;Decrease&gt; in operating lease obligations</t>
  </si>
  <si>
    <t>Increase &lt;Decrease&gt; in finance lease obligations</t>
  </si>
  <si>
    <t>Increase &lt;Decrease&gt; in common stock + paid in capital</t>
  </si>
  <si>
    <t xml:space="preserve">Increase &lt;Decrease&gt; in accum. OCI </t>
  </si>
  <si>
    <t>Increase &lt;Decrease&gt; in treasury stock and other equity adjs.</t>
  </si>
  <si>
    <t>Increase &lt;Decrease&gt; in noncontrolling interests</t>
  </si>
  <si>
    <t xml:space="preserve">  Net Cash Flows from Financing Activities</t>
  </si>
  <si>
    <t xml:space="preserve">Check Figure: </t>
  </si>
  <si>
    <t>Net change in cash - Change in cash balance</t>
  </si>
  <si>
    <t>These check figures should be zero, indicating the net change in cash on the statement of cash flows agrees with the change in cash on the balance sheet. If a check figure is not zero, it indicates one or more errors either in the balance sheet or the statement of cash flows. The user must find and correct any errors.</t>
  </si>
  <si>
    <t>Forecast Validity Checks:</t>
  </si>
  <si>
    <t xml:space="preserve">FSAP computes these ratios using the forecast amounts above. The FSAP user can evaluate these ratios to assess whether forecast assumptions are reasonable or not. </t>
  </si>
  <si>
    <t>FORECAST VALIDITY CHECK DATA:</t>
  </si>
  <si>
    <t>Revenue Growth Rates:</t>
  </si>
  <si>
    <t>Net Income Growth Rates:</t>
  </si>
  <si>
    <t>Total Asset Growth Rates</t>
  </si>
  <si>
    <t>L'Oréal: Sector comparison of financial health (Cosmetics &amp; Perfumes)</t>
  </si>
  <si>
    <t>Operating Profit Before Taxes / Revenues</t>
  </si>
  <si>
    <t>Revenues / Avg. Accounts Receivable</t>
  </si>
  <si>
    <t>COGS / Average Inventory</t>
  </si>
  <si>
    <t>Revenues / Average Fixed Assets</t>
  </si>
  <si>
    <t>Interest Coverage Ratio</t>
  </si>
  <si>
    <t xml:space="preserve">The FSAP User Guides appear in column K to the right. </t>
  </si>
  <si>
    <t>Forecast Development:</t>
  </si>
  <si>
    <t>This Forecast Development spreadsheet provides work space in which the analyst can:</t>
  </si>
  <si>
    <t xml:space="preserve">  - build detailed sales revenue forecasts</t>
  </si>
  <si>
    <t xml:space="preserve">  - build forecasts of capital expenditures, property, plant and equipment, depreciation expense, and accumulated depreciation.</t>
  </si>
  <si>
    <t xml:space="preserve">  - build detailed forecasts of other financial statement amounts.</t>
  </si>
  <si>
    <t xml:space="preserve">It is not necessary to use this spreadsheet to build financial statement forecasts in the FSAP Forecasts </t>
  </si>
  <si>
    <t>spreadsheet.  If you use this spreadsheet to build more detailed forecasts, the you will need to link these</t>
  </si>
  <si>
    <t xml:space="preserve">forecast amounts to the appropriate cells in the financial statements in the FSAP Forecasts spreadsheet.  </t>
  </si>
  <si>
    <t>Sales Revenue Forecast Development</t>
  </si>
  <si>
    <t>Actuals</t>
  </si>
  <si>
    <t>Forecasts</t>
  </si>
  <si>
    <t>Forecast Development: Capital Expenditures, Property, Plant and Equipment, and Depreciation</t>
  </si>
  <si>
    <t>Capital Expenditures:</t>
  </si>
  <si>
    <t>CAPEX Forecasts:</t>
  </si>
  <si>
    <t xml:space="preserve">The Capital Expenditures schedule permits the FSAP user to build detailed forecasts of future capital expenditures as a percent of future revenues, gross PP&amp;E or any other reasonable basis for these forecast assumptions. </t>
  </si>
  <si>
    <t>CAPEX:</t>
  </si>
  <si>
    <t>PP&amp;E Acquired</t>
  </si>
  <si>
    <t>PP&amp;E Sold</t>
  </si>
  <si>
    <t>Net CAPEX</t>
  </si>
  <si>
    <t>Net CAPEX as a percent of:</t>
  </si>
  <si>
    <t xml:space="preserve"> Gross PP&amp;E</t>
  </si>
  <si>
    <t>Revenues</t>
  </si>
  <si>
    <t>Property, Plant and Equipment and Depreciation</t>
  </si>
  <si>
    <t>Property, Plant and Equipment and Depreciation Forecasts:</t>
  </si>
  <si>
    <t xml:space="preserve">The Property, Plant &amp; Equipment and Depreciation schedule automatically computes for the FSAP detailed forecasts of future PP&amp;E based on exisitng PP&amp;E plus projected future capital expenditures. The Depreciation expense schedule automatically computes future depreciation expense based on exisitng depreciable PP&amp;E future capital expenditures.  The expected useful life for depreciation purposes is computed below.  </t>
  </si>
  <si>
    <t xml:space="preserve">FSAP automatically links the projected amounts for gross PP&amp;E, accumulated depreciation, depreciation expense, and capital expenditures into the financial statements in the Forecasts worksheet. </t>
  </si>
  <si>
    <t xml:space="preserve">PP&amp;E at cost: </t>
  </si>
  <si>
    <t>Beg. balance at cost:</t>
  </si>
  <si>
    <t>Add: CAPEX forecasts from above:</t>
  </si>
  <si>
    <t>End balance at cost:</t>
  </si>
  <si>
    <t>Accumulated Depreciation:</t>
  </si>
  <si>
    <t>Beg. Balance:</t>
  </si>
  <si>
    <t>Subtract: Depreciation expense forecasts from below:</t>
  </si>
  <si>
    <t>End Balance:</t>
  </si>
  <si>
    <t>PP&amp;E - net</t>
  </si>
  <si>
    <t>Depreciation Expense Forecast Development:</t>
  </si>
  <si>
    <t>Depreciation expense forecast on existing PP&amp;E:</t>
  </si>
  <si>
    <t>Existing PP&amp;E at cost:</t>
  </si>
  <si>
    <t xml:space="preserve">This computation shows depreciation expense based on the exisiting depreciable PP&amp;E at the start of the forecast period. The computation assumes straight line depreciation methods, zero salvage value, and the estimated useful life computed below. .  </t>
  </si>
  <si>
    <t>Remaining balance to be depreciated.</t>
  </si>
  <si>
    <t>This computation shows the amount of gross PP&amp;E still to be depreciated.  Once this amount falls to zero, depreciation is complete.The FSAP user should be sure that these amounts are not negative.</t>
  </si>
  <si>
    <t xml:space="preserve">PP&amp;E Purchases: </t>
  </si>
  <si>
    <t>Depreciation expense forecasts on new PP&amp;E:</t>
  </si>
  <si>
    <t>Capex Year +1</t>
  </si>
  <si>
    <t xml:space="preserve">FSAP automatically computes a new depreciation schedule for each year's capital expenditures, which are included in PP&amp;E. These computations assume straight line depreciation methods and zero salvage value. The computations use the extimated useful life as computed below. </t>
  </si>
  <si>
    <t>Capex Year +2</t>
  </si>
  <si>
    <t>Capex Year +3</t>
  </si>
  <si>
    <t>Capex Year +4</t>
  </si>
  <si>
    <t>Capex Year +5</t>
  </si>
  <si>
    <t>Total Depreciation Expense</t>
  </si>
  <si>
    <t>Depreciation methods:</t>
  </si>
  <si>
    <t>PPE at Cost</t>
  </si>
  <si>
    <t xml:space="preserve">FSAP automatically estimates the estimated useful life for depreciation purposes by dividing the average amount of gross depreciable PP&amp;E by depreciation expense.  This estimate assume straight line depreciation and zero salvage value. </t>
  </si>
  <si>
    <t>Avg Depreciable PPE</t>
  </si>
  <si>
    <t>Depreciation Expense</t>
  </si>
  <si>
    <t>Implied Avg. Useful Life in Years</t>
  </si>
  <si>
    <t>Useful Life Forecast Assumption:</t>
  </si>
  <si>
    <t>(in years)</t>
  </si>
  <si>
    <t>A Comment on Entering Valuation Parameter Assumptions:</t>
  </si>
  <si>
    <t>The FSAP user must enter valuation parameter assumptions in the green-shaded, blue font boxes below. These valuation parameters involve the costs of common equity capital, debt capital, and preferred stock capital (if any), as well as the long run growth rate assumption.  FSAP references data in the Data spreadsheet and the Forecasts spreadsheet when available. FSAP uses these parameters to compute costs of capital to use as discount rates in the valuation models.</t>
  </si>
  <si>
    <t>DATA CHECKS - Estimated Value per Share</t>
  </si>
  <si>
    <t>Dividend Based Valuation</t>
  </si>
  <si>
    <t>FSAP automatically references the estimated value per share.</t>
  </si>
  <si>
    <t>Free Cash Flow Valuation</t>
  </si>
  <si>
    <t>Residual Income Valuation</t>
  </si>
  <si>
    <t>Residual Income Market-to-Book Valuation</t>
  </si>
  <si>
    <t>Free Cash Flow for All Debt and Equity Valuation</t>
  </si>
  <si>
    <t>Check: All Estimated Value per Share amounts should be the same, with the possible exception of the share value from the</t>
  </si>
  <si>
    <t xml:space="preserve"> Free Cash Flow for All Debt and Equity model.  See additional comments in cell L266.</t>
  </si>
  <si>
    <t>VALUATION MODELS</t>
  </si>
  <si>
    <t xml:space="preserve"> </t>
  </si>
  <si>
    <t>VALUATION PARAMETER ASSUMPTIONS</t>
  </si>
  <si>
    <t>Market Value Parameters:</t>
  </si>
  <si>
    <t>Current share price</t>
  </si>
  <si>
    <t xml:space="preserve">FSAP uses the most recent share price entered in the Data spreadsheet. The FSAP user can override this and enter the most recent share price directly in this cell. </t>
  </si>
  <si>
    <t>Number of shares outstanding</t>
  </si>
  <si>
    <t xml:space="preserve">FSAP uses the most recent number of shares outstanding entered in the Data spreadsheet. The FSAP user can override this and enter the most recent number of shares outstanding directly in this cell. </t>
  </si>
  <si>
    <t>Current market value</t>
  </si>
  <si>
    <t>FSAP computes market value of equity using market price per share times number of shares outstanding.</t>
  </si>
  <si>
    <t>Long-run growth assumption used in forecasts</t>
  </si>
  <si>
    <t>Long Run Growth Parameters:</t>
  </si>
  <si>
    <t>Long-run growth assumption used in valuation.</t>
  </si>
  <si>
    <t>Enter the long run growth rate assumption for use in the valuation models. This growth rate must agree with the long run growth rate used to forecast Year +6 and Beyond in the Forecasts spreadsheet.</t>
  </si>
  <si>
    <t xml:space="preserve">  (Both long-run growth assumptions should be the same.)</t>
  </si>
  <si>
    <t>COST OF EQUITY CAPITAL:</t>
  </si>
  <si>
    <t>Cost of Equity Capital Parameters:</t>
  </si>
  <si>
    <t>Equity risk factor (market beta)</t>
  </si>
  <si>
    <t>Enter the market beta.</t>
  </si>
  <si>
    <t>Risk free rate</t>
  </si>
  <si>
    <t>Enter a risk-free rate of return, such as the yield on 3 to 5 year U.S. Treasury bonds.</t>
  </si>
  <si>
    <t>Market risk premium</t>
  </si>
  <si>
    <t>Enter the expected market risk premium.  This is the amount by which the average expected rate of return on a diversified portfolio of stocks is expected to exceed the expected rate of return on a portfolio of risk free securities. Reasonable estimates commonly range from 3% to 9%.</t>
  </si>
  <si>
    <t>Required rate of return on common equity:</t>
  </si>
  <si>
    <t>Using the above parameters, FSAP computes the expected rate of return on equity using the market model version of the CAPM.</t>
  </si>
  <si>
    <t>COST OF DEBT CAPITAL</t>
  </si>
  <si>
    <t>Cost of Debt Capital Parameters:</t>
  </si>
  <si>
    <t>Debt capital</t>
  </si>
  <si>
    <t xml:space="preserve">FSAP uses the total amount of short term debt and long term debt from the most recent balance sheet data in the Forecasts worksheet. The analyst can override this default by entering the market value of debt capital, if known.  </t>
  </si>
  <si>
    <t>Cost of debt capital, before tax</t>
  </si>
  <si>
    <t>FSAP uses the interest rate assumption entered in the Forecasts spreadsheet.  The analyst can override this default by entering here the expected interest rate on debt capital to be used in computing the weighted average cost of capital.  The interest rate on debt capital used here in valuation should be consistent with the interest rate assumed in the forecasts of future interest expense in the Forecasts Spreadsheet.</t>
  </si>
  <si>
    <t>Effective tax rate</t>
  </si>
  <si>
    <t xml:space="preserve">FSAP uses the tax rate assumption entered in the Forecasts spreadsheet.  The analyst can override this default by entering here the effective tax rate for use in computing the effective after-tax cost of debt capital.  </t>
  </si>
  <si>
    <t>After-tax cost of debt capital</t>
  </si>
  <si>
    <t xml:space="preserve">FSAP uses the above parameters to compute the after-tax cost of debt capital. </t>
  </si>
  <si>
    <t>COST OF LEASE OBLIGATIONS</t>
  </si>
  <si>
    <t>Cost of Lease Obligations Parameters:</t>
  </si>
  <si>
    <t>Capitalized lease obligations</t>
  </si>
  <si>
    <t xml:space="preserve">FSAP uses the total amount of short term  and long term obligations for operating and finance (capital) leases from the most recent balance sheet data in the Forecasts worksheet. The analyst can override this default by entering the fair value of lease obligations, if known. </t>
  </si>
  <si>
    <t>FSAP uses the implied interest rate assumption on lease obligations entered in the Forecasts spreadsheet.  The analyst can override this default by entering here the expected interest rate on lease obligations to be used in computing the weighted average cost of capital.  The interest rate on lease obligations used here in valuation should be consistent with the interest rate assumed in the forecasts of future imputed interest expense on lease obligations in the Forecasts Spreadsheet.</t>
  </si>
  <si>
    <t xml:space="preserve">FSAP uses the tax rate assumption entered in the Forecasts spreadsheet.  The analyst can override this default by entering here the effective tax rate for use in computing the effective after-tax cost of lease obligations.  </t>
  </si>
  <si>
    <t xml:space="preserve">FSAP uses the above parameters to compute the after-tax cost of capital on lease obligations.  Enter zero if short-term and long-term lease obligations are zero.  </t>
  </si>
  <si>
    <t>COST OF PREFERRED STOCK</t>
  </si>
  <si>
    <t>Cost of Preferred Stock Parameters:</t>
  </si>
  <si>
    <t>Preferred stock capital</t>
  </si>
  <si>
    <t xml:space="preserve">FSAP uses the amount of preferred stock entered in the most recent balance sheet data in the Forecasts worksheet. The analyst can override this default by entering the market value of debt capital, if known.  </t>
  </si>
  <si>
    <t>Preferred dividends</t>
  </si>
  <si>
    <t xml:space="preserve">FSAP uses the preferred stock dividend entered in the Forecasts spreadsheet. The analyst can override this default by entering the required rate of return on preferred stock, if known. </t>
  </si>
  <si>
    <t>Implied yield</t>
  </si>
  <si>
    <t xml:space="preserve">FSAP uses the above parameters to compute the cost of preferred stock capital. </t>
  </si>
  <si>
    <t>COST OF NONCONTROLLING INTERESTS' CAPITAL</t>
  </si>
  <si>
    <t>Cost of Noncontrolling Interests Parameters:</t>
  </si>
  <si>
    <t>Noncontrolling interests capital</t>
  </si>
  <si>
    <t xml:space="preserve">FSAP uses the amount of equity capital attributable to noncontrolling interests entered in the most recent balance sheet data in the Forecasts worksheet. The analyst can override this default by entering the market value of noncontrolling interests, if known.  </t>
  </si>
  <si>
    <t>Earnings attributable to noncontrolling interests</t>
  </si>
  <si>
    <t xml:space="preserve">FSAP uses the earnings attributable to noncontrolling interests entered in the Forecasts spreadsheet. The analyst can override this default by entering the required rate of return on noncontrolling interests, if known. </t>
  </si>
  <si>
    <t xml:space="preserve">FSAP uses the above parameters to compute the cost of capital atttributable to noncontrolling interests. </t>
  </si>
  <si>
    <t>WEIGHTED AVERAGE COST OF CAPITAL</t>
  </si>
  <si>
    <t>Weighted Average Cost of Capital:</t>
  </si>
  <si>
    <t>Weight of equity in capital structure</t>
  </si>
  <si>
    <t>FSAP computes the weight of equity in the capital structure by dividing the market value of equity by the market value of total capital (common equity, debt, preferred stock, and noncontrolling interests).</t>
  </si>
  <si>
    <t>Weight of debt in capital structure</t>
  </si>
  <si>
    <t>FSAP computes the weight of debt in the capital structure by dividing the value of debt by the market value of total capital (common equity, debt, preferred stock, and noncontrolling interests).</t>
  </si>
  <si>
    <t>Weight of lease obligations in capital structure</t>
  </si>
  <si>
    <t>Weight of preferred stock in capital structure</t>
  </si>
  <si>
    <t>FSAP computes the weight of preferred stock in the capital structure by dividing the market value of preferred by the market value of total capital (common equity, debt, preferred stock, and noncontrolling interests).</t>
  </si>
  <si>
    <t>Weight of noncontrolling interests in capital structure</t>
  </si>
  <si>
    <t>FSAP computes the weight of noncontrolling interests in the capital structure by dividing the market value of noncontrolling interests by the market value of total capital (common equity, debt,  preferred stock, and noncontrolling interests).</t>
  </si>
  <si>
    <t>Weighted average cost of capital</t>
  </si>
  <si>
    <t>FSAP uses the above weights and costs of capital to compute a weighted average cost of capital.</t>
  </si>
  <si>
    <t>Continuing</t>
  </si>
  <si>
    <t>Value</t>
  </si>
  <si>
    <t>Dividends-Based Valuation:</t>
  </si>
  <si>
    <t>Dividends-Based Valuation</t>
  </si>
  <si>
    <t xml:space="preserve">Chapter 11 describes the dividends-based valuation approach. </t>
  </si>
  <si>
    <t>Dividends Paid to Common Shareholders</t>
  </si>
  <si>
    <t>FSAP uses implied dividends for common shareholders from the Forecasts worksheet.</t>
  </si>
  <si>
    <t>Less: Common Stock Issues</t>
  </si>
  <si>
    <t>FSAP uses the change in common stock plus paid in capital from the Forecasts worksheet. Stock issues are treated as negative dividends.</t>
  </si>
  <si>
    <t>Plus: Common Stock Repurchases</t>
  </si>
  <si>
    <t xml:space="preserve">FSAP uses the change in treasury stock from the Forecasts worksheet. Purchases of treasury stock are treated as dividends. </t>
  </si>
  <si>
    <t>Dividends to Common Equity</t>
  </si>
  <si>
    <t xml:space="preserve">These figures represent the forecasted total dividends to common equity shareholders. </t>
  </si>
  <si>
    <t>Present Value Factors</t>
  </si>
  <si>
    <t xml:space="preserve">These present value factors are based on the equity cost of capital, computed above. </t>
  </si>
  <si>
    <t>Present Value Net Dividends</t>
  </si>
  <si>
    <t>Sum of Present Value Net Dividends</t>
  </si>
  <si>
    <t>The sum of the present value of net dividends through Year +5.</t>
  </si>
  <si>
    <t>Present Value of Continuing Value</t>
  </si>
  <si>
    <t xml:space="preserve">The present value of continuing value dividends in Year +6 and beyond. Year +6 dividends are treated as a perpetuity with growth using the long-run growth rate assumption, discounted to present value at the equity cost of capital. </t>
  </si>
  <si>
    <t>Total</t>
  </si>
  <si>
    <t>Adjust to midyear discounting</t>
  </si>
  <si>
    <t>This adjustment corrects for over-discounting. The present value factors discount from the end of each year to the present, whereas dividends, cash flows, and earnings are generated throughout the year. This adjustment computes the present value so that dividends, cash flows, and earnings are discounted from the mid-point of each year.</t>
  </si>
  <si>
    <t>Total Present Value Dividends</t>
  </si>
  <si>
    <t>Shares Outstanding</t>
  </si>
  <si>
    <t>Estimated Value per Share</t>
  </si>
  <si>
    <t xml:space="preserve">The estimated value per share. </t>
  </si>
  <si>
    <t xml:space="preserve">Percent difference </t>
  </si>
  <si>
    <t>(Value/price)-1: positive number indicates underpricing.</t>
  </si>
  <si>
    <t>Free Cash Flows for Common Equity Valuation:</t>
  </si>
  <si>
    <t>Free Cash Flows for Common Equity</t>
  </si>
  <si>
    <t xml:space="preserve">Chapter 12 describes the free cash flows-based valuation approaches. </t>
  </si>
  <si>
    <t>Net Cash Flow from Operations</t>
  </si>
  <si>
    <t>FSAP uses net cash flows from operations from the Forecasts worksheet.</t>
  </si>
  <si>
    <t>Decrease (Increase) in Cash Required for Operations</t>
  </si>
  <si>
    <t>The analyst should adjust free cash flows for changes in cash required for operations.  As firms grow, they typically require larger cash balances for liquidity in operating activities.  FSAP is programmed to automatically adjust free cash flows for the change in the cash balance, which is assumed to be required for operations.</t>
  </si>
  <si>
    <t>Net Cash Flow from Investing</t>
  </si>
  <si>
    <t>FSAP uses net cash flows from investing from the Forecasts worksheet.</t>
  </si>
  <si>
    <t>Net CFs from Debt Financing</t>
  </si>
  <si>
    <t>FSAP uses net cash flows from debt financing from the Forecasts worksheet.</t>
  </si>
  <si>
    <t>Net CFs into Financial Assets</t>
  </si>
  <si>
    <t>This row enables the analyst to adjust for any investing cash flows that should be classified as financing cash flows. For example, if the investing cash flows include cash outflows to acquire investment securities that will be used to retire debt, then these cash outflows should be added back in computing free cash flows to debt and equity.</t>
  </si>
  <si>
    <t>Net CFs - Pref. Stock and Noncontrolling Interests</t>
  </si>
  <si>
    <t>FSAP uses net cash flows from preferred stock and minority interests from the Forecasts worksheet.</t>
  </si>
  <si>
    <t>Free Cash Flow for Common Equity</t>
  </si>
  <si>
    <t xml:space="preserve">These figures represent the forecasted total free cash flows to common equity shareholders. </t>
  </si>
  <si>
    <t>Present Value Free Cash Flows</t>
  </si>
  <si>
    <t>Sum of Present Value Free Cash Flows</t>
  </si>
  <si>
    <t>The sum of the present value of free cash flows for common equity shareholders through Year +5.</t>
  </si>
  <si>
    <t xml:space="preserve">The present value of continuing free cash flows in Year +6 and beyond. Year +6 free cash flows are treated as a perpetuity with growth using the long-run growth rate assumption, discounted to present value at the equity cost of capital. </t>
  </si>
  <si>
    <t>Total Present Value Free Cash Flows to Equity</t>
  </si>
  <si>
    <t>Free Cash Flow Valuation Sensitivity Analysis:</t>
  </si>
  <si>
    <t>Long-Run Growth Assumptions</t>
  </si>
  <si>
    <t>Sensitivity Analyses:</t>
  </si>
  <si>
    <t xml:space="preserve">The FSAP user can enter the relevant range of discount rates in the left-most column and the relevant range of long run growth rates in the top row.  Enter the discount rates and growth rates as percentages.  </t>
  </si>
  <si>
    <t>Discount</t>
  </si>
  <si>
    <t>Rates:</t>
  </si>
  <si>
    <t>Residual Income Valuation:</t>
  </si>
  <si>
    <t>RESIDUAL INCOME  VALUATION</t>
  </si>
  <si>
    <t xml:space="preserve">Chapter 13 describes the residual income valuation approach. </t>
  </si>
  <si>
    <t xml:space="preserve">Comprehensive Income Available </t>
  </si>
  <si>
    <t xml:space="preserve">    for Common Shareholders</t>
  </si>
  <si>
    <t>FSAP uses comprehensive income from the Forecasts worksheet, less any expected dividends to preferred stockholders.</t>
  </si>
  <si>
    <t>Lagged Book Value of Common</t>
  </si>
  <si>
    <t xml:space="preserve">    Shareholders' Equity (at t-1)</t>
  </si>
  <si>
    <t>FSAP uses beginning of year (lagged) book value of common shareholders' equity from the Forecasts worsksheet.</t>
  </si>
  <si>
    <t>Required Earnings</t>
  </si>
  <si>
    <t>FSAP computes required earnings as the equity cost of capital times the beginning of year book value of common shareholders' equity.</t>
  </si>
  <si>
    <t>Residual Income</t>
  </si>
  <si>
    <t xml:space="preserve">Residual income is the difference between projected comprehensive income available to common and required earnings. </t>
  </si>
  <si>
    <t>Present Value Residual Income</t>
  </si>
  <si>
    <t>Sum of Present Value Residual Income</t>
  </si>
  <si>
    <t>The sum of the present value of residual income through Year +5.</t>
  </si>
  <si>
    <t xml:space="preserve">The present value of continuing residual income in Year +6 and beyond. Year +6 residual income is treated as a perpetuity with growth using the long-run growth rate assumption, discounted to present value at the equity cost of capital. </t>
  </si>
  <si>
    <t>Add: Beginning Book Value of Equity</t>
  </si>
  <si>
    <t>Present Value of Equity</t>
  </si>
  <si>
    <t>Total Present Value of Equity</t>
  </si>
  <si>
    <t>RESIDUAL INCOME VALUATION SENSITIVITY ANALYSIS:</t>
  </si>
  <si>
    <t>Market-to-Book Valuation:</t>
  </si>
  <si>
    <t>Market-to-Book Approach</t>
  </si>
  <si>
    <t xml:space="preserve">Chapter 14 describes the market-to-book valuation approach. </t>
  </si>
  <si>
    <t>Book Value of Common</t>
  </si>
  <si>
    <t>FSAP uses beginning of year (lagged) book value of common shareholders' equity from the Forecasts worksheet.</t>
  </si>
  <si>
    <t xml:space="preserve">Implied ROCE </t>
  </si>
  <si>
    <t xml:space="preserve">FSAP computes the implied ROCE, dividing comprehensive income by beginning of year book value of common equity. </t>
  </si>
  <si>
    <t xml:space="preserve">Residual ROCE </t>
  </si>
  <si>
    <t xml:space="preserve">FSAP computes the residual ROCE as implied ROCE minus the equity cost of capital computed above.  </t>
  </si>
  <si>
    <t>Cumulative growth factor in common equity as of t-1</t>
  </si>
  <si>
    <t>FSAP computes the cumulative growth factor in common equity as beginning of year book value of common equity divided by book value of common equity on the firm's current balance sheet.</t>
  </si>
  <si>
    <t>Residual ROCE times cumulative growth</t>
  </si>
  <si>
    <t>The product of residual ROCE and the cumulative growth factor in common equity.</t>
  </si>
  <si>
    <t>Present Value Residual ROCE times growth</t>
  </si>
  <si>
    <t>Sum of Present Value Residual ROCE times growth</t>
  </si>
  <si>
    <t>The sum of the present value of residual ROCE times cumulative growth through Year +5.</t>
  </si>
  <si>
    <t xml:space="preserve">The present value of residual ROCE times cumulative growth in Year +6 and beyond. Year +6 residual ROCE is treated as a perpetuity with growth using the long-run growth rate assumption, discounted to present value at the equity cost of capital. </t>
  </si>
  <si>
    <t>Total Present Value Residual ROCE</t>
  </si>
  <si>
    <t>Add one for book value of equity at t-1</t>
  </si>
  <si>
    <t>Sum</t>
  </si>
  <si>
    <t>Adjust to mid-year discounting</t>
  </si>
  <si>
    <t>Implied Market-to-Book Ratio</t>
  </si>
  <si>
    <t>The implied market-to-book value ratio.</t>
  </si>
  <si>
    <t>Times Beginning Book Value of Equity</t>
  </si>
  <si>
    <t>Sensitivity analysis for the market-to-book approach should be identical to that of the residual income approach.</t>
  </si>
  <si>
    <t>Free Cash Flows for All Debt and Equity Valuation:</t>
  </si>
  <si>
    <t>Free Cash Flows for All Debt and Equity</t>
  </si>
  <si>
    <t>Add back: Interest Expense after tax</t>
  </si>
  <si>
    <t>FSAP uses interest expense from the Forecasts worksheet, and adds back the after-tax amount of interest expense.</t>
  </si>
  <si>
    <t>Subtract: Interest Income after tax</t>
  </si>
  <si>
    <t xml:space="preserve">The analyst should program FSAP to subtract interest income after tax if the analyst determines that the firm's financial assets are part of the financial capital structure (such as investment securities intended to retire debt).    </t>
  </si>
  <si>
    <t>The analyst should adjust free cash flows for changes in cash required for operations.  As firms grow, they typically require larger cash balances for liquidity in operating activities.  FSAP is programmed to automatically adjust free cash flows for the changes in cash balances, which are assumed to be required for operations.</t>
  </si>
  <si>
    <t>Free Cash Flow from Operations</t>
  </si>
  <si>
    <t>Add back: Net CFs into Financial Assets</t>
  </si>
  <si>
    <t>Free Cash Flows - All Debt and Equity</t>
  </si>
  <si>
    <t xml:space="preserve">These figures represent the forecasted total free cash flows to all debt and equity stakeholders. </t>
  </si>
  <si>
    <t xml:space="preserve">These present value factors are based on the weighted average cost of capital, computed above. </t>
  </si>
  <si>
    <t>The sum of the present value of free cash flows for all debt and equity stakeholders through Year +5.</t>
  </si>
  <si>
    <t xml:space="preserve">The present value of continuing free cash flows in Year +6 and beyond. Year +6 free cash flows are treated as a perpetuity with growth using the long-run growth rate assumption, discounted to present value at the weighted average cost of capital. </t>
  </si>
  <si>
    <t>Total Present Value Free Cash Flows to Equity and Debt</t>
  </si>
  <si>
    <t xml:space="preserve">Total present value of all equity and debt. </t>
  </si>
  <si>
    <t>Less: Value of Outstanding Debt</t>
  </si>
  <si>
    <t xml:space="preserve">Subtract the value of outstanding debt. Value should be market value, if known, or fair value if disclosed. If not, use book value. </t>
  </si>
  <si>
    <t>Less: Value of Lease Obligations</t>
  </si>
  <si>
    <t>Less: Value of Noncontrolling Interests</t>
  </si>
  <si>
    <t xml:space="preserve">Subtract the value of outstanding preferred stock.  Value should be market value, if known, or fair value if disclosed. If not, use book value. </t>
  </si>
  <si>
    <t>Plus: Value of Financial Assets</t>
  </si>
  <si>
    <t xml:space="preserve">Add the value of financial assets to be used to retire debt or pay dividends. Value should be market value, if known, or fair value if disclosed. If not, use book value. </t>
  </si>
  <si>
    <t xml:space="preserve">The estimated value per share. The first-iteration estimate of share value using this approach frequently differs slightly from the other share value estimates. Several iterations can be required to adjust the weights of debt and equity used to compute WACC to agree with the value of common equity implied by this valuation model.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</si>
</sst>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9">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 numFmtId="165" formatCode="0.0"/>
    <numFmt numFmtId="166" formatCode="_(* #,##0.0_);_(* \(#,##0.0\);_(* &quot;-&quot;??_);_(@_)"/>
    <numFmt numFmtId="167" formatCode="_(&quot;$&quot;* #,##0_);_(&quot;$&quot;* \(#,##0\);_(&quot;$&quot;* &quot;-&quot;??_);_(@_)"/>
    <numFmt numFmtId="168" formatCode="0.000"/>
    <numFmt numFmtId="169" formatCode="#,##0.0"/>
    <numFmt numFmtId="170" formatCode="_(* #,##0_);_(* \(#,##0\);_(* &quot;-&quot;??_);_(@_)"/>
    <numFmt numFmtId="171" formatCode="_(&quot;$&quot;* #,##0.0_);_(&quot;$&quot;* \(#,##0.0\);_(&quot;$&quot;* &quot;-&quot;??_);_(@_)"/>
    <numFmt numFmtId="172" formatCode="0.000_)"/>
    <numFmt numFmtId="173" formatCode="0.0000"/>
    <numFmt numFmtId="174" formatCode="0.00_)"/>
    <numFmt numFmtId="175" formatCode="0.0_)"/>
    <numFmt numFmtId="176" formatCode="0_)"/>
    <numFmt numFmtId="177" formatCode="#,##0.000"/>
    <numFmt numFmtId="178" formatCode="&quot;$&quot;#,##0.0"/>
    <numFmt numFmtId="179" formatCode="_(&quot;$&quot;* #,##0.000_);_(&quot;$&quot;* \(#,##0.000\);_(&quot;$&quot;* &quot;-&quot;??_);_(@_)"/>
    <numFmt numFmtId="180" formatCode="#,##0.0000000000"/>
    <numFmt numFmtId="181" formatCode="_(* #,##0.000_);_(* \(#,##0.000\);_(* &quot;-&quot;??_);_(@_)"/>
    <numFmt numFmtId="182" formatCode="#,##0.0000000"/>
    <numFmt numFmtId="183" formatCode="_(&quot;$&quot;* #,##0.000000_);_(&quot;$&quot;* \(#,##0.000000\);_(&quot;$&quot;* &quot;-&quot;??_);_(@_)"/>
    <numFmt numFmtId="184" formatCode="_(&quot;$&quot;* #,##0.00000000_);_(&quot;$&quot;* \(#,##0.00000000\);_(&quot;$&quot;* &quot;-&quot;??_);_(@_)"/>
    <numFmt numFmtId="185" formatCode="0.00000000_)"/>
    <numFmt numFmtId="186" formatCode="0.00000000"/>
    <numFmt numFmtId="187" formatCode="_(&quot;$&quot;* #,##0.000000000_);_(&quot;$&quot;* \(#,##0.000000000\);_(&quot;$&quot;* &quot;-&quot;??_);_(@_)"/>
    <numFmt numFmtId="188" formatCode="0.000000000"/>
  </numFmts>
  <fonts count="25" x14ac:knownFonts="1">
    <font>
      <sz val="10"/>
      <name val="Arial"/>
    </font>
    <font>
      <sz val="10"/>
      <name val="Arial"/>
      <family val="2"/>
    </font>
    <font>
      <sz val="8"/>
      <color indexed="81"/>
      <name val="Tahoma"/>
      <family val="2"/>
    </font>
    <font>
      <sz val="10"/>
      <name val="Arial"/>
      <family val="2"/>
    </font>
    <font>
      <b/>
      <sz val="10"/>
      <name val="Arial"/>
      <family val="2"/>
    </font>
    <font>
      <sz val="10"/>
      <name val="Arial"/>
      <family val="2"/>
    </font>
    <font>
      <b/>
      <sz val="10"/>
      <color indexed="12"/>
      <name val="Arial"/>
      <family val="2"/>
    </font>
    <font>
      <sz val="10"/>
      <color indexed="12"/>
      <name val="Arial"/>
      <family val="2"/>
    </font>
    <font>
      <sz val="8"/>
      <name val="Arial"/>
      <family val="2"/>
    </font>
    <font>
      <sz val="7"/>
      <name val="Arial"/>
      <family val="2"/>
    </font>
    <font>
      <sz val="10"/>
      <color indexed="48"/>
      <name val="Arial"/>
      <family val="2"/>
    </font>
    <font>
      <b/>
      <sz val="8"/>
      <name val="Arial"/>
      <family val="2"/>
    </font>
    <font>
      <b/>
      <vertAlign val="superscript"/>
      <sz val="8"/>
      <name val="Arial"/>
      <family val="2"/>
    </font>
    <font>
      <b/>
      <sz val="10"/>
      <color indexed="17"/>
      <name val="Arial"/>
      <family val="2"/>
    </font>
    <font>
      <sz val="10"/>
      <color indexed="10"/>
      <name val="Arial"/>
      <family val="2"/>
    </font>
    <font>
      <b/>
      <u/>
      <sz val="10"/>
      <name val="Arial"/>
      <family val="2"/>
    </font>
    <font>
      <b/>
      <i/>
      <sz val="10"/>
      <color indexed="12"/>
      <name val="Arial"/>
      <family val="2"/>
    </font>
    <font>
      <b/>
      <sz val="10"/>
      <color indexed="10"/>
      <name val="Arial"/>
      <family val="2"/>
    </font>
    <font>
      <b/>
      <i/>
      <sz val="10"/>
      <name val="Arial"/>
      <family val="2"/>
    </font>
    <font>
      <b/>
      <i/>
      <u/>
      <sz val="10"/>
      <name val="Arial"/>
      <family val="2"/>
    </font>
    <font>
      <sz val="8"/>
      <color indexed="10"/>
      <name val="Arial"/>
      <family val="2"/>
    </font>
    <font>
      <sz val="10"/>
      <color rgb="FFFF0000"/>
      <name val="Arial"/>
      <family val="2"/>
    </font>
    <font>
      <b/>
      <sz val="10"/>
      <color rgb="FFFF0000"/>
      <name val="Arial"/>
      <family val="2"/>
    </font>
    <font>
      <b/>
      <sz val="10"/>
      <color rgb="FF0000FF"/>
      <name val="Arial"/>
      <family val="2"/>
    </font>
    <font>
      <u/>
      <sz val="10"/>
      <color theme="10"/>
      <name val="Arial"/>
      <family val="2"/>
    </font>
  </fonts>
  <fills count="20">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43"/>
        <bgColor indexed="9"/>
      </patternFill>
    </fill>
    <fill>
      <patternFill patternType="solid">
        <fgColor indexed="9"/>
        <bgColor indexed="9"/>
      </patternFill>
    </fill>
    <fill>
      <patternFill patternType="solid">
        <fgColor indexed="13"/>
        <bgColor indexed="64"/>
      </patternFill>
    </fill>
    <fill>
      <patternFill patternType="solid">
        <fgColor indexed="47"/>
        <bgColor indexed="64"/>
      </patternFill>
    </fill>
    <fill>
      <patternFill patternType="solid">
        <fgColor theme="0" tint="-0.14999847407452621"/>
        <bgColor indexed="64"/>
      </patternFill>
    </fill>
    <fill>
      <patternFill patternType="solid">
        <fgColor rgb="FFFFFF99"/>
        <bgColor indexed="64"/>
      </patternFill>
    </fill>
    <fill>
      <patternFill patternType="solid">
        <fgColor theme="0"/>
        <bgColor indexed="64"/>
      </patternFill>
    </fill>
    <fill>
      <patternFill patternType="solid">
        <fgColor rgb="FFFFFF00"/>
        <bgColor indexed="64"/>
      </patternFill>
    </fill>
    <fill>
      <patternFill patternType="solid">
        <fgColor rgb="FFFFFFFF"/>
        <bgColor rgb="FF000000"/>
      </patternFill>
    </fill>
    <fill>
      <patternFill patternType="solid">
        <fgColor rgb="FFCCFFCC"/>
        <bgColor rgb="FF000000"/>
      </patternFill>
    </fill>
    <fill>
      <patternFill patternType="solid">
        <fgColor theme="9" tint="0.79998168889431442"/>
        <bgColor indexed="64"/>
      </patternFill>
    </fill>
    <fill>
      <patternFill patternType="solid">
        <fgColor rgb="FFFDE9D9"/>
        <bgColor rgb="FF000000"/>
      </patternFill>
    </fill>
    <fill>
      <patternFill patternType="solid">
        <fgColor rgb="FF99FFCC"/>
        <bgColor indexed="64"/>
      </patternFill>
    </fill>
    <fill>
      <patternFill patternType="solid">
        <fgColor rgb="FF92D050"/>
        <bgColor indexed="64"/>
      </patternFill>
    </fill>
  </fills>
  <borders count="46">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bottom style="double">
        <color indexed="64"/>
      </bottom>
      <diagonal/>
    </border>
    <border>
      <left/>
      <right/>
      <top style="thin">
        <color indexed="64"/>
      </top>
      <bottom style="double">
        <color indexed="64"/>
      </bottom>
      <diagonal/>
    </border>
    <border>
      <left/>
      <right/>
      <top style="double">
        <color indexed="64"/>
      </top>
      <bottom style="thin">
        <color indexed="64"/>
      </bottom>
      <diagonal/>
    </border>
    <border>
      <left/>
      <right style="medium">
        <color indexed="64"/>
      </right>
      <top style="thin">
        <color indexed="64"/>
      </top>
      <bottom style="double">
        <color indexed="64"/>
      </bottom>
      <diagonal/>
    </border>
    <border>
      <left/>
      <right style="thin">
        <color indexed="64"/>
      </right>
      <top/>
      <bottom style="medium">
        <color indexed="64"/>
      </bottom>
      <diagonal/>
    </border>
    <border>
      <left style="medium">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double">
        <color indexed="64"/>
      </top>
      <bottom/>
      <diagonal/>
    </border>
    <border>
      <left/>
      <right style="double">
        <color indexed="64"/>
      </right>
      <top/>
      <bottom/>
      <diagonal/>
    </border>
  </borders>
  <cellStyleXfs count="7">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24" fillId="0" borderId="0" applyNumberFormat="0" applyFill="0" applyBorder="0" applyAlignment="0" applyProtection="0"/>
  </cellStyleXfs>
  <cellXfs count="512">
    <xf numFmtId="0" fontId="0" fillId="0" borderId="0" xfId="0"/>
    <xf numFmtId="3" fontId="4" fillId="2" borderId="1" xfId="0" applyNumberFormat="1" applyFont="1" applyFill="1" applyBorder="1"/>
    <xf numFmtId="3" fontId="4" fillId="2" borderId="2" xfId="0" applyNumberFormat="1" applyFont="1" applyFill="1" applyBorder="1"/>
    <xf numFmtId="3" fontId="4" fillId="2" borderId="3" xfId="0" applyNumberFormat="1" applyFont="1" applyFill="1" applyBorder="1"/>
    <xf numFmtId="3" fontId="5" fillId="0" borderId="4" xfId="0" applyNumberFormat="1" applyFont="1" applyBorder="1"/>
    <xf numFmtId="3" fontId="4" fillId="2" borderId="9" xfId="0" applyNumberFormat="1" applyFont="1" applyFill="1" applyBorder="1"/>
    <xf numFmtId="3" fontId="4" fillId="2" borderId="11" xfId="0" applyNumberFormat="1" applyFont="1" applyFill="1" applyBorder="1"/>
    <xf numFmtId="0" fontId="5" fillId="0" borderId="0" xfId="0" applyFont="1"/>
    <xf numFmtId="3" fontId="4" fillId="0" borderId="0" xfId="0" applyNumberFormat="1" applyFont="1"/>
    <xf numFmtId="3" fontId="4" fillId="2" borderId="4" xfId="0" applyNumberFormat="1" applyFont="1" applyFill="1" applyBorder="1"/>
    <xf numFmtId="3" fontId="6" fillId="3" borderId="15" xfId="0" applyNumberFormat="1" applyFont="1" applyFill="1" applyBorder="1" applyProtection="1">
      <protection locked="0"/>
    </xf>
    <xf numFmtId="3" fontId="7" fillId="3" borderId="16" xfId="0" applyNumberFormat="1" applyFont="1" applyFill="1" applyBorder="1" applyProtection="1">
      <protection locked="0"/>
    </xf>
    <xf numFmtId="3" fontId="7" fillId="3" borderId="8" xfId="0" applyNumberFormat="1" applyFont="1" applyFill="1" applyBorder="1" applyProtection="1">
      <protection locked="0"/>
    </xf>
    <xf numFmtId="1" fontId="6" fillId="3" borderId="4" xfId="0" applyNumberFormat="1" applyFont="1" applyFill="1" applyBorder="1" applyProtection="1">
      <protection locked="0"/>
    </xf>
    <xf numFmtId="3" fontId="4" fillId="0" borderId="4" xfId="0" applyNumberFormat="1" applyFont="1" applyBorder="1"/>
    <xf numFmtId="3" fontId="6" fillId="3" borderId="4" xfId="1" applyNumberFormat="1" applyFont="1" applyFill="1" applyBorder="1" applyProtection="1">
      <protection locked="0"/>
    </xf>
    <xf numFmtId="3" fontId="6" fillId="3" borderId="4" xfId="0" applyNumberFormat="1" applyFont="1" applyFill="1" applyBorder="1"/>
    <xf numFmtId="3" fontId="6" fillId="3" borderId="4" xfId="0" applyNumberFormat="1" applyFont="1" applyFill="1" applyBorder="1" applyProtection="1">
      <protection locked="0"/>
    </xf>
    <xf numFmtId="3" fontId="4" fillId="10" borderId="4" xfId="0" applyNumberFormat="1" applyFont="1" applyFill="1" applyBorder="1"/>
    <xf numFmtId="3" fontId="4" fillId="10" borderId="4" xfId="0" applyNumberFormat="1" applyFont="1" applyFill="1" applyBorder="1" applyProtection="1">
      <protection locked="0"/>
    </xf>
    <xf numFmtId="3" fontId="6" fillId="0" borderId="4" xfId="1" applyNumberFormat="1" applyFont="1" applyFill="1" applyBorder="1" applyProtection="1">
      <protection locked="0"/>
    </xf>
    <xf numFmtId="1" fontId="4" fillId="0" borderId="4" xfId="0" applyNumberFormat="1" applyFont="1" applyBorder="1" applyProtection="1">
      <protection locked="0"/>
    </xf>
    <xf numFmtId="3" fontId="4" fillId="10" borderId="4" xfId="1" applyNumberFormat="1" applyFont="1" applyFill="1" applyBorder="1" applyProtection="1">
      <protection locked="0"/>
    </xf>
    <xf numFmtId="164" fontId="6" fillId="3" borderId="4" xfId="3" applyNumberFormat="1" applyFont="1" applyFill="1" applyBorder="1" applyProtection="1">
      <protection locked="0"/>
    </xf>
    <xf numFmtId="164" fontId="4" fillId="0" borderId="4" xfId="3" applyNumberFormat="1" applyFont="1" applyFill="1" applyBorder="1" applyProtection="1">
      <protection locked="0"/>
    </xf>
    <xf numFmtId="3" fontId="4" fillId="0" borderId="4" xfId="1" applyNumberFormat="1" applyFont="1" applyFill="1" applyBorder="1" applyProtection="1">
      <protection locked="0"/>
    </xf>
    <xf numFmtId="4" fontId="6" fillId="3" borderId="4" xfId="1" applyNumberFormat="1" applyFont="1" applyFill="1" applyBorder="1" applyProtection="1">
      <protection locked="0"/>
    </xf>
    <xf numFmtId="3" fontId="4" fillId="10" borderId="4" xfId="0" applyNumberFormat="1" applyFont="1" applyFill="1" applyBorder="1" applyProtection="1">
      <protection hidden="1"/>
    </xf>
    <xf numFmtId="0" fontId="4" fillId="2" borderId="17" xfId="0" applyFont="1" applyFill="1" applyBorder="1"/>
    <xf numFmtId="0" fontId="4" fillId="2" borderId="6" xfId="0" applyFont="1" applyFill="1" applyBorder="1"/>
    <xf numFmtId="0" fontId="4" fillId="2" borderId="3" xfId="0" applyFont="1" applyFill="1" applyBorder="1"/>
    <xf numFmtId="0" fontId="4" fillId="2" borderId="18" xfId="0" applyFont="1" applyFill="1" applyBorder="1"/>
    <xf numFmtId="0" fontId="4" fillId="2" borderId="19" xfId="0" applyFont="1" applyFill="1" applyBorder="1"/>
    <xf numFmtId="0" fontId="4" fillId="5" borderId="21" xfId="0" applyFont="1" applyFill="1" applyBorder="1"/>
    <xf numFmtId="0" fontId="4" fillId="5" borderId="24" xfId="0" applyFont="1" applyFill="1" applyBorder="1"/>
    <xf numFmtId="0" fontId="4" fillId="5" borderId="0" xfId="0" applyFont="1" applyFill="1"/>
    <xf numFmtId="0" fontId="4" fillId="2" borderId="5" xfId="0" applyFont="1" applyFill="1" applyBorder="1"/>
    <xf numFmtId="0" fontId="4" fillId="0" borderId="0" xfId="0" applyFont="1"/>
    <xf numFmtId="0" fontId="4" fillId="2" borderId="28" xfId="0" applyFont="1" applyFill="1" applyBorder="1"/>
    <xf numFmtId="1" fontId="4" fillId="2" borderId="28" xfId="0" applyNumberFormat="1" applyFont="1" applyFill="1" applyBorder="1"/>
    <xf numFmtId="0" fontId="5" fillId="0" borderId="4" xfId="0" applyFont="1" applyBorder="1"/>
    <xf numFmtId="164" fontId="4" fillId="0" borderId="4" xfId="0" applyNumberFormat="1" applyFont="1" applyBorder="1"/>
    <xf numFmtId="165" fontId="4" fillId="0" borderId="4" xfId="0" applyNumberFormat="1" applyFont="1" applyBorder="1"/>
    <xf numFmtId="164" fontId="4" fillId="0" borderId="0" xfId="0" applyNumberFormat="1" applyFont="1"/>
    <xf numFmtId="164" fontId="4" fillId="0" borderId="29" xfId="0" applyNumberFormat="1" applyFont="1" applyBorder="1"/>
    <xf numFmtId="0" fontId="4" fillId="0" borderId="22" xfId="0" applyFont="1" applyBorder="1"/>
    <xf numFmtId="0" fontId="4" fillId="0" borderId="29" xfId="0" applyFont="1" applyBorder="1"/>
    <xf numFmtId="0" fontId="4" fillId="5" borderId="29" xfId="0" applyFont="1" applyFill="1" applyBorder="1"/>
    <xf numFmtId="0" fontId="4" fillId="0" borderId="4" xfId="0" applyFont="1" applyBorder="1"/>
    <xf numFmtId="0" fontId="4" fillId="2" borderId="24" xfId="0" applyFont="1" applyFill="1" applyBorder="1"/>
    <xf numFmtId="2" fontId="4" fillId="0" borderId="4" xfId="0" applyNumberFormat="1" applyFont="1" applyBorder="1"/>
    <xf numFmtId="1" fontId="4" fillId="0" borderId="4" xfId="0" applyNumberFormat="1" applyFont="1" applyBorder="1"/>
    <xf numFmtId="10" fontId="4" fillId="0" borderId="4" xfId="3" applyNumberFormat="1" applyFont="1" applyBorder="1"/>
    <xf numFmtId="164" fontId="4" fillId="0" borderId="4" xfId="3" applyNumberFormat="1" applyFont="1" applyBorder="1"/>
    <xf numFmtId="10" fontId="4" fillId="0" borderId="0" xfId="3" applyNumberFormat="1" applyFont="1" applyBorder="1"/>
    <xf numFmtId="0" fontId="8" fillId="5" borderId="0" xfId="0" applyFont="1" applyFill="1" applyAlignment="1">
      <alignment horizontal="center"/>
    </xf>
    <xf numFmtId="0" fontId="9" fillId="5" borderId="0" xfId="0" applyFont="1" applyFill="1" applyAlignment="1">
      <alignment horizontal="center"/>
    </xf>
    <xf numFmtId="0" fontId="9" fillId="5" borderId="0" xfId="0" applyFont="1" applyFill="1"/>
    <xf numFmtId="0" fontId="8" fillId="5" borderId="0" xfId="0" applyFont="1" applyFill="1" applyAlignment="1">
      <alignment horizontal="left"/>
    </xf>
    <xf numFmtId="0" fontId="8" fillId="5" borderId="0" xfId="0" applyFont="1" applyFill="1"/>
    <xf numFmtId="0" fontId="4" fillId="2" borderId="11" xfId="0" applyFont="1" applyFill="1" applyBorder="1"/>
    <xf numFmtId="164" fontId="4" fillId="0" borderId="4" xfId="0" applyNumberFormat="1" applyFont="1" applyBorder="1" applyAlignment="1">
      <alignment horizontal="right"/>
    </xf>
    <xf numFmtId="0" fontId="9" fillId="5" borderId="0" xfId="0" applyFont="1" applyFill="1" applyAlignment="1">
      <alignment horizontal="right"/>
    </xf>
    <xf numFmtId="0" fontId="8" fillId="5" borderId="0" xfId="0" applyFont="1" applyFill="1" applyAlignment="1">
      <alignment horizontal="right"/>
    </xf>
    <xf numFmtId="3" fontId="4" fillId="5" borderId="0" xfId="0" applyNumberFormat="1" applyFont="1" applyFill="1"/>
    <xf numFmtId="0" fontId="4" fillId="5" borderId="9" xfId="0" applyFont="1" applyFill="1" applyBorder="1"/>
    <xf numFmtId="0" fontId="10" fillId="5" borderId="9" xfId="0" applyFont="1" applyFill="1" applyBorder="1"/>
    <xf numFmtId="0" fontId="4" fillId="5" borderId="9" xfId="0" applyFont="1" applyFill="1" applyBorder="1" applyAlignment="1">
      <alignment horizontal="right"/>
    </xf>
    <xf numFmtId="0" fontId="4" fillId="5" borderId="14" xfId="0" applyFont="1" applyFill="1" applyBorder="1" applyAlignment="1">
      <alignment horizontal="center"/>
    </xf>
    <xf numFmtId="1" fontId="4" fillId="5" borderId="0" xfId="0" applyNumberFormat="1" applyFont="1" applyFill="1" applyAlignment="1">
      <alignment horizontal="right"/>
    </xf>
    <xf numFmtId="0" fontId="4" fillId="5" borderId="0" xfId="0" applyFont="1" applyFill="1" applyAlignment="1">
      <alignment horizontal="right"/>
    </xf>
    <xf numFmtId="0" fontId="11" fillId="5" borderId="10" xfId="0" applyFont="1" applyFill="1" applyBorder="1"/>
    <xf numFmtId="0" fontId="11" fillId="5" borderId="9" xfId="0" applyFont="1" applyFill="1" applyBorder="1" applyAlignment="1">
      <alignment horizontal="right"/>
    </xf>
    <xf numFmtId="0" fontId="11" fillId="0" borderId="9" xfId="0" applyFont="1" applyBorder="1" applyAlignment="1">
      <alignment horizontal="right"/>
    </xf>
    <xf numFmtId="0" fontId="12" fillId="5" borderId="9" xfId="0" applyFont="1" applyFill="1" applyBorder="1" applyAlignment="1">
      <alignment horizontal="right"/>
    </xf>
    <xf numFmtId="0" fontId="11" fillId="0" borderId="9" xfId="0" applyFont="1" applyBorder="1"/>
    <xf numFmtId="1" fontId="4" fillId="0" borderId="0" xfId="0" applyNumberFormat="1" applyFont="1"/>
    <xf numFmtId="0" fontId="8" fillId="0" borderId="0" xfId="0" applyFont="1" applyAlignment="1">
      <alignment horizontal="right"/>
    </xf>
    <xf numFmtId="3" fontId="4" fillId="0" borderId="4" xfId="0" applyNumberFormat="1" applyFont="1" applyBorder="1" applyAlignment="1">
      <alignment horizontal="right"/>
    </xf>
    <xf numFmtId="164" fontId="4" fillId="0" borderId="0" xfId="0" applyNumberFormat="1" applyFont="1" applyAlignment="1">
      <alignment horizontal="right"/>
    </xf>
    <xf numFmtId="3" fontId="4" fillId="2" borderId="30" xfId="0" applyNumberFormat="1" applyFont="1" applyFill="1" applyBorder="1"/>
    <xf numFmtId="0" fontId="4" fillId="2" borderId="15" xfId="0" applyFont="1" applyFill="1" applyBorder="1" applyAlignment="1">
      <alignment horizontal="left"/>
    </xf>
    <xf numFmtId="0" fontId="4" fillId="2" borderId="16" xfId="0" applyFont="1" applyFill="1" applyBorder="1"/>
    <xf numFmtId="0" fontId="4" fillId="6" borderId="4" xfId="0" applyFont="1" applyFill="1" applyBorder="1" applyAlignment="1">
      <alignment horizontal="left"/>
    </xf>
    <xf numFmtId="0" fontId="4" fillId="6" borderId="15" xfId="0" applyFont="1" applyFill="1" applyBorder="1"/>
    <xf numFmtId="0" fontId="4" fillId="6" borderId="16" xfId="0" applyFont="1" applyFill="1" applyBorder="1"/>
    <xf numFmtId="0" fontId="4" fillId="7" borderId="0" xfId="0" applyFont="1" applyFill="1"/>
    <xf numFmtId="0" fontId="6" fillId="7" borderId="0" xfId="0" applyFont="1" applyFill="1"/>
    <xf numFmtId="0" fontId="4" fillId="7" borderId="0" xfId="0" applyFont="1" applyFill="1" applyAlignment="1">
      <alignment horizontal="right"/>
    </xf>
    <xf numFmtId="0" fontId="7" fillId="7" borderId="0" xfId="0" applyFont="1" applyFill="1"/>
    <xf numFmtId="164" fontId="6" fillId="3" borderId="4" xfId="3" applyNumberFormat="1" applyFont="1" applyFill="1" applyBorder="1"/>
    <xf numFmtId="0" fontId="13" fillId="5" borderId="32" xfId="0" applyFont="1" applyFill="1" applyBorder="1"/>
    <xf numFmtId="0" fontId="4" fillId="2" borderId="14" xfId="0" applyFont="1" applyFill="1" applyBorder="1"/>
    <xf numFmtId="0" fontId="4" fillId="3" borderId="14" xfId="0" applyFont="1" applyFill="1" applyBorder="1"/>
    <xf numFmtId="0" fontId="4" fillId="0" borderId="0" xfId="0" applyFont="1" applyAlignment="1">
      <alignment horizontal="right"/>
    </xf>
    <xf numFmtId="3" fontId="6" fillId="3" borderId="0" xfId="2" applyNumberFormat="1" applyFont="1" applyFill="1" applyBorder="1"/>
    <xf numFmtId="3" fontId="4" fillId="0" borderId="0" xfId="2" applyNumberFormat="1" applyFont="1" applyFill="1" applyBorder="1"/>
    <xf numFmtId="164" fontId="7" fillId="3" borderId="0" xfId="0" applyNumberFormat="1" applyFont="1" applyFill="1"/>
    <xf numFmtId="164" fontId="7" fillId="0" borderId="0" xfId="0" applyNumberFormat="1" applyFont="1"/>
    <xf numFmtId="0" fontId="7" fillId="3" borderId="0" xfId="0" applyFont="1" applyFill="1"/>
    <xf numFmtId="3" fontId="4" fillId="0" borderId="16" xfId="0" applyNumberFormat="1" applyFont="1" applyBorder="1"/>
    <xf numFmtId="3" fontId="4" fillId="0" borderId="16" xfId="2" applyNumberFormat="1" applyFont="1" applyFill="1" applyBorder="1"/>
    <xf numFmtId="3" fontId="4" fillId="5" borderId="0" xfId="0" applyNumberFormat="1" applyFont="1" applyFill="1" applyAlignment="1">
      <alignment horizontal="right"/>
    </xf>
    <xf numFmtId="164" fontId="6" fillId="0" borderId="0" xfId="0" applyNumberFormat="1" applyFont="1"/>
    <xf numFmtId="165" fontId="7" fillId="3" borderId="0" xfId="0" applyNumberFormat="1" applyFont="1" applyFill="1"/>
    <xf numFmtId="165" fontId="7" fillId="0" borderId="0" xfId="0" applyNumberFormat="1" applyFont="1"/>
    <xf numFmtId="164" fontId="7" fillId="3" borderId="0" xfId="3" applyNumberFormat="1" applyFont="1" applyFill="1" applyBorder="1"/>
    <xf numFmtId="164" fontId="6" fillId="0" borderId="0" xfId="3" applyNumberFormat="1" applyFont="1" applyFill="1" applyBorder="1"/>
    <xf numFmtId="3" fontId="4" fillId="0" borderId="33" xfId="0" applyNumberFormat="1" applyFont="1" applyBorder="1"/>
    <xf numFmtId="0" fontId="4" fillId="6" borderId="16" xfId="0" applyFont="1" applyFill="1" applyBorder="1" applyAlignment="1">
      <alignment horizontal="left"/>
    </xf>
    <xf numFmtId="0" fontId="4" fillId="6" borderId="14" xfId="0" applyFont="1" applyFill="1" applyBorder="1" applyAlignment="1">
      <alignment horizontal="left"/>
    </xf>
    <xf numFmtId="0" fontId="4" fillId="7" borderId="0" xfId="0" applyFont="1" applyFill="1" applyAlignment="1">
      <alignment horizontal="left"/>
    </xf>
    <xf numFmtId="0" fontId="13" fillId="5" borderId="0" xfId="0" applyFont="1" applyFill="1"/>
    <xf numFmtId="0" fontId="4" fillId="3" borderId="34" xfId="0" applyFont="1" applyFill="1" applyBorder="1"/>
    <xf numFmtId="1" fontId="7" fillId="0" borderId="0" xfId="0" applyNumberFormat="1" applyFont="1"/>
    <xf numFmtId="1" fontId="6" fillId="0" borderId="0" xfId="0" applyNumberFormat="1" applyFont="1"/>
    <xf numFmtId="165" fontId="6" fillId="0" borderId="0" xfId="0" applyNumberFormat="1" applyFont="1"/>
    <xf numFmtId="9" fontId="7" fillId="3" borderId="0" xfId="3" applyFont="1" applyFill="1" applyBorder="1"/>
    <xf numFmtId="164" fontId="6" fillId="0" borderId="0" xfId="3" applyNumberFormat="1" applyFont="1" applyBorder="1"/>
    <xf numFmtId="1" fontId="6" fillId="0" borderId="0" xfId="3" applyNumberFormat="1" applyFont="1" applyFill="1" applyBorder="1"/>
    <xf numFmtId="167" fontId="6" fillId="0" borderId="0" xfId="2" applyNumberFormat="1" applyFont="1" applyFill="1" applyBorder="1"/>
    <xf numFmtId="1" fontId="7" fillId="0" borderId="0" xfId="3" applyNumberFormat="1" applyFont="1" applyFill="1" applyBorder="1"/>
    <xf numFmtId="1" fontId="7" fillId="0" borderId="0" xfId="3" applyNumberFormat="1" applyFont="1" applyBorder="1"/>
    <xf numFmtId="9" fontId="7" fillId="0" borderId="0" xfId="3" applyFont="1" applyFill="1" applyBorder="1"/>
    <xf numFmtId="9" fontId="6" fillId="0" borderId="0" xfId="3" applyFont="1" applyFill="1" applyBorder="1"/>
    <xf numFmtId="0" fontId="14" fillId="5" borderId="0" xfId="0" applyFont="1" applyFill="1"/>
    <xf numFmtId="0" fontId="14" fillId="0" borderId="0" xfId="0" applyFont="1"/>
    <xf numFmtId="3" fontId="4" fillId="8" borderId="0" xfId="0" applyNumberFormat="1" applyFont="1" applyFill="1"/>
    <xf numFmtId="1" fontId="6" fillId="0" borderId="10" xfId="0" applyNumberFormat="1" applyFont="1" applyBorder="1"/>
    <xf numFmtId="3" fontId="4" fillId="3" borderId="0" xfId="0" applyNumberFormat="1" applyFont="1" applyFill="1"/>
    <xf numFmtId="3" fontId="4" fillId="3" borderId="10" xfId="0" applyNumberFormat="1" applyFont="1" applyFill="1" applyBorder="1"/>
    <xf numFmtId="164" fontId="4" fillId="0" borderId="0" xfId="3" applyNumberFormat="1" applyFont="1" applyFill="1" applyBorder="1"/>
    <xf numFmtId="164" fontId="7" fillId="0" borderId="0" xfId="3" applyNumberFormat="1" applyFont="1" applyBorder="1"/>
    <xf numFmtId="1" fontId="4" fillId="0" borderId="10" xfId="0" applyNumberFormat="1" applyFont="1" applyBorder="1"/>
    <xf numFmtId="165" fontId="4" fillId="0" borderId="0" xfId="0" applyNumberFormat="1" applyFont="1"/>
    <xf numFmtId="0" fontId="7" fillId="0" borderId="0" xfId="0" applyFont="1"/>
    <xf numFmtId="3" fontId="4" fillId="3" borderId="33" xfId="0" applyNumberFormat="1" applyFont="1" applyFill="1" applyBorder="1"/>
    <xf numFmtId="3" fontId="4" fillId="3" borderId="35" xfId="0" applyNumberFormat="1" applyFont="1" applyFill="1" applyBorder="1"/>
    <xf numFmtId="1" fontId="4" fillId="0" borderId="12" xfId="0" applyNumberFormat="1" applyFont="1" applyBorder="1"/>
    <xf numFmtId="1" fontId="4" fillId="0" borderId="13" xfId="0" applyNumberFormat="1" applyFont="1" applyBorder="1"/>
    <xf numFmtId="0" fontId="4" fillId="6" borderId="15" xfId="0" applyFont="1" applyFill="1" applyBorder="1" applyAlignment="1">
      <alignment horizontal="left"/>
    </xf>
    <xf numFmtId="0" fontId="4" fillId="6" borderId="0" xfId="0" applyFont="1" applyFill="1" applyAlignment="1">
      <alignment horizontal="left"/>
    </xf>
    <xf numFmtId="0" fontId="4" fillId="2" borderId="0" xfId="0" applyFont="1" applyFill="1"/>
    <xf numFmtId="1" fontId="14" fillId="0" borderId="0" xfId="0" applyNumberFormat="1" applyFont="1"/>
    <xf numFmtId="1" fontId="4" fillId="5" borderId="0" xfId="0" applyNumberFormat="1" applyFont="1" applyFill="1"/>
    <xf numFmtId="164" fontId="4" fillId="0" borderId="0" xfId="3" applyNumberFormat="1" applyFont="1" applyBorder="1" applyProtection="1"/>
    <xf numFmtId="164" fontId="4" fillId="0" borderId="0" xfId="3" applyNumberFormat="1" applyFont="1" applyBorder="1"/>
    <xf numFmtId="0" fontId="4" fillId="5" borderId="0" xfId="0" applyFont="1" applyFill="1" applyAlignment="1">
      <alignment horizontal="left"/>
    </xf>
    <xf numFmtId="165" fontId="4" fillId="0" borderId="0" xfId="3" applyNumberFormat="1" applyFont="1" applyBorder="1" applyProtection="1"/>
    <xf numFmtId="0" fontId="4" fillId="2" borderId="37" xfId="0" applyFont="1" applyFill="1" applyBorder="1"/>
    <xf numFmtId="3" fontId="4" fillId="2" borderId="15" xfId="0" applyNumberFormat="1" applyFont="1" applyFill="1" applyBorder="1" applyProtection="1">
      <protection locked="0"/>
    </xf>
    <xf numFmtId="0" fontId="4" fillId="2" borderId="15" xfId="0" applyFont="1" applyFill="1" applyBorder="1"/>
    <xf numFmtId="0" fontId="4" fillId="0" borderId="0" xfId="0" applyFont="1" applyAlignment="1">
      <alignment horizontal="left"/>
    </xf>
    <xf numFmtId="3" fontId="6" fillId="0" borderId="0" xfId="0" applyNumberFormat="1" applyFont="1"/>
    <xf numFmtId="41" fontId="4" fillId="2" borderId="16" xfId="0" applyNumberFormat="1" applyFont="1" applyFill="1" applyBorder="1"/>
    <xf numFmtId="41" fontId="4" fillId="3" borderId="15" xfId="0" applyNumberFormat="1" applyFont="1" applyFill="1" applyBorder="1"/>
    <xf numFmtId="41" fontId="4" fillId="3" borderId="16" xfId="0" applyNumberFormat="1" applyFont="1" applyFill="1" applyBorder="1"/>
    <xf numFmtId="0" fontId="4" fillId="3" borderId="16" xfId="0" applyFont="1" applyFill="1" applyBorder="1"/>
    <xf numFmtId="0" fontId="4" fillId="0" borderId="14" xfId="0" applyFont="1" applyBorder="1"/>
    <xf numFmtId="0" fontId="4" fillId="0" borderId="0" xfId="0" applyFont="1" applyAlignment="1">
      <alignment horizontal="center"/>
    </xf>
    <xf numFmtId="171" fontId="4" fillId="0" borderId="0" xfId="2" applyNumberFormat="1" applyFont="1" applyFill="1" applyBorder="1"/>
    <xf numFmtId="178" fontId="4" fillId="0" borderId="0" xfId="2" applyNumberFormat="1" applyFont="1" applyFill="1" applyBorder="1"/>
    <xf numFmtId="3" fontId="4" fillId="0" borderId="0" xfId="0" applyNumberFormat="1" applyFont="1" applyAlignment="1">
      <alignment horizontal="right"/>
    </xf>
    <xf numFmtId="3" fontId="4" fillId="0" borderId="0" xfId="1" applyNumberFormat="1" applyFont="1" applyFill="1" applyBorder="1"/>
    <xf numFmtId="3" fontId="4" fillId="0" borderId="16" xfId="0" applyNumberFormat="1" applyFont="1" applyBorder="1" applyAlignment="1">
      <alignment horizontal="right"/>
    </xf>
    <xf numFmtId="3" fontId="6" fillId="3" borderId="16" xfId="2" applyNumberFormat="1" applyFont="1" applyFill="1" applyBorder="1"/>
    <xf numFmtId="41" fontId="4" fillId="0" borderId="0" xfId="0" applyNumberFormat="1" applyFont="1"/>
    <xf numFmtId="1" fontId="4" fillId="0" borderId="0" xfId="1" applyNumberFormat="1" applyFont="1" applyFill="1" applyBorder="1"/>
    <xf numFmtId="179" fontId="4" fillId="0" borderId="0" xfId="2" applyNumberFormat="1" applyFont="1" applyFill="1" applyBorder="1"/>
    <xf numFmtId="164" fontId="6" fillId="3" borderId="0" xfId="0" applyNumberFormat="1" applyFont="1" applyFill="1"/>
    <xf numFmtId="9" fontId="6" fillId="0" borderId="0" xfId="0" applyNumberFormat="1" applyFont="1"/>
    <xf numFmtId="0" fontId="4" fillId="3" borderId="15" xfId="0" applyFont="1" applyFill="1" applyBorder="1"/>
    <xf numFmtId="0" fontId="15" fillId="0" borderId="0" xfId="0" applyFont="1" applyAlignment="1">
      <alignment horizontal="center"/>
    </xf>
    <xf numFmtId="42" fontId="4" fillId="0" borderId="0" xfId="0" applyNumberFormat="1" applyFont="1"/>
    <xf numFmtId="175" fontId="4" fillId="0" borderId="0" xfId="0" applyNumberFormat="1" applyFont="1"/>
    <xf numFmtId="3" fontId="4" fillId="0" borderId="14" xfId="0" applyNumberFormat="1" applyFont="1" applyBorder="1"/>
    <xf numFmtId="3" fontId="4" fillId="2" borderId="16" xfId="2" applyNumberFormat="1" applyFont="1" applyFill="1" applyBorder="1" applyProtection="1"/>
    <xf numFmtId="176" fontId="6" fillId="0" borderId="0" xfId="0" applyNumberFormat="1" applyFont="1"/>
    <xf numFmtId="175" fontId="6" fillId="0" borderId="0" xfId="0" applyNumberFormat="1" applyFont="1"/>
    <xf numFmtId="0" fontId="16" fillId="0" borderId="0" xfId="0" applyFont="1"/>
    <xf numFmtId="3" fontId="4" fillId="2" borderId="16" xfId="0" applyNumberFormat="1" applyFont="1" applyFill="1" applyBorder="1"/>
    <xf numFmtId="37" fontId="4" fillId="0" borderId="0" xfId="2" applyNumberFormat="1" applyFont="1" applyBorder="1"/>
    <xf numFmtId="37" fontId="4" fillId="0" borderId="0" xfId="2" applyNumberFormat="1" applyFont="1"/>
    <xf numFmtId="165" fontId="17" fillId="0" borderId="0" xfId="0" applyNumberFormat="1" applyFont="1"/>
    <xf numFmtId="37" fontId="4" fillId="0" borderId="0" xfId="0" applyNumberFormat="1" applyFont="1"/>
    <xf numFmtId="169" fontId="17" fillId="0" borderId="0" xfId="0" applyNumberFormat="1" applyFont="1"/>
    <xf numFmtId="165" fontId="17" fillId="2" borderId="4" xfId="0" applyNumberFormat="1" applyFont="1" applyFill="1" applyBorder="1"/>
    <xf numFmtId="0" fontId="4" fillId="6" borderId="34" xfId="0" applyFont="1" applyFill="1" applyBorder="1"/>
    <xf numFmtId="0" fontId="4" fillId="2" borderId="34" xfId="0" applyFont="1" applyFill="1" applyBorder="1"/>
    <xf numFmtId="0" fontId="4" fillId="3" borderId="8" xfId="0" applyFont="1" applyFill="1" applyBorder="1"/>
    <xf numFmtId="0" fontId="4" fillId="5" borderId="44" xfId="0" applyFont="1" applyFill="1" applyBorder="1"/>
    <xf numFmtId="0" fontId="4" fillId="5" borderId="45" xfId="0" applyFont="1" applyFill="1" applyBorder="1"/>
    <xf numFmtId="44" fontId="6" fillId="3" borderId="4" xfId="2" applyFont="1" applyFill="1" applyBorder="1" applyAlignment="1">
      <alignment horizontal="right"/>
    </xf>
    <xf numFmtId="167" fontId="4" fillId="5" borderId="4" xfId="2" applyNumberFormat="1" applyFont="1" applyFill="1" applyBorder="1" applyAlignment="1">
      <alignment horizontal="right"/>
    </xf>
    <xf numFmtId="167" fontId="4" fillId="5" borderId="16" xfId="2" applyNumberFormat="1" applyFont="1" applyFill="1" applyBorder="1" applyAlignment="1">
      <alignment horizontal="right"/>
    </xf>
    <xf numFmtId="164" fontId="4" fillId="5" borderId="4" xfId="3" applyNumberFormat="1" applyFont="1" applyFill="1" applyBorder="1" applyAlignment="1">
      <alignment horizontal="right"/>
    </xf>
    <xf numFmtId="164" fontId="6" fillId="3" borderId="4" xfId="3" applyNumberFormat="1" applyFont="1" applyFill="1" applyBorder="1" applyAlignment="1">
      <alignment horizontal="right"/>
    </xf>
    <xf numFmtId="2" fontId="6" fillId="3" borderId="4" xfId="3" applyNumberFormat="1" applyFont="1" applyFill="1" applyBorder="1"/>
    <xf numFmtId="10" fontId="4" fillId="5" borderId="4" xfId="3" applyNumberFormat="1" applyFont="1" applyFill="1" applyBorder="1"/>
    <xf numFmtId="167" fontId="6" fillId="3" borderId="4" xfId="2" applyNumberFormat="1" applyFont="1" applyFill="1" applyBorder="1"/>
    <xf numFmtId="10" fontId="4" fillId="0" borderId="4" xfId="3" applyNumberFormat="1" applyFont="1" applyFill="1" applyBorder="1"/>
    <xf numFmtId="0" fontId="6" fillId="5" borderId="0" xfId="0" applyFont="1" applyFill="1"/>
    <xf numFmtId="0" fontId="4" fillId="5" borderId="32" xfId="0" applyFont="1" applyFill="1" applyBorder="1"/>
    <xf numFmtId="0" fontId="4" fillId="6" borderId="44" xfId="0" applyFont="1" applyFill="1" applyBorder="1"/>
    <xf numFmtId="0" fontId="4" fillId="5" borderId="0" xfId="0" applyFont="1" applyFill="1" applyAlignment="1">
      <alignment horizontal="center"/>
    </xf>
    <xf numFmtId="0" fontId="4" fillId="9" borderId="0" xfId="0" applyFont="1" applyFill="1"/>
    <xf numFmtId="0" fontId="4" fillId="9" borderId="0" xfId="0" applyFont="1" applyFill="1" applyAlignment="1">
      <alignment horizontal="right"/>
    </xf>
    <xf numFmtId="169" fontId="4" fillId="5" borderId="0" xfId="0" applyNumberFormat="1" applyFont="1" applyFill="1" applyAlignment="1">
      <alignment horizontal="right"/>
    </xf>
    <xf numFmtId="169" fontId="4" fillId="9" borderId="0" xfId="0" applyNumberFormat="1" applyFont="1" applyFill="1" applyAlignment="1">
      <alignment horizontal="right"/>
    </xf>
    <xf numFmtId="172" fontId="4" fillId="5" borderId="0" xfId="0" applyNumberFormat="1" applyFont="1" applyFill="1" applyAlignment="1">
      <alignment horizontal="right"/>
    </xf>
    <xf numFmtId="169" fontId="4" fillId="5" borderId="0" xfId="0" applyNumberFormat="1" applyFont="1" applyFill="1"/>
    <xf numFmtId="44" fontId="4" fillId="5" borderId="0" xfId="0" applyNumberFormat="1" applyFont="1" applyFill="1"/>
    <xf numFmtId="2" fontId="4" fillId="5" borderId="32" xfId="0" applyNumberFormat="1" applyFont="1" applyFill="1" applyBorder="1"/>
    <xf numFmtId="169" fontId="4" fillId="9" borderId="0" xfId="0" applyNumberFormat="1" applyFont="1" applyFill="1"/>
    <xf numFmtId="172" fontId="4" fillId="5" borderId="0" xfId="0" applyNumberFormat="1" applyFont="1" applyFill="1"/>
    <xf numFmtId="168" fontId="4" fillId="5" borderId="0" xfId="0" applyNumberFormat="1" applyFont="1" applyFill="1"/>
    <xf numFmtId="2" fontId="4" fillId="5" borderId="0" xfId="0" applyNumberFormat="1" applyFont="1" applyFill="1"/>
    <xf numFmtId="0" fontId="4" fillId="9" borderId="27" xfId="0" applyFont="1" applyFill="1" applyBorder="1"/>
    <xf numFmtId="0" fontId="4" fillId="5" borderId="27" xfId="0" applyFont="1" applyFill="1" applyBorder="1"/>
    <xf numFmtId="0" fontId="18" fillId="5" borderId="0" xfId="0" applyFont="1" applyFill="1" applyAlignment="1">
      <alignment horizontal="left"/>
    </xf>
    <xf numFmtId="2" fontId="4" fillId="0" borderId="0" xfId="0" applyNumberFormat="1" applyFont="1"/>
    <xf numFmtId="9" fontId="4" fillId="5" borderId="0" xfId="3" applyFont="1" applyFill="1" applyBorder="1"/>
    <xf numFmtId="9" fontId="4" fillId="5" borderId="32" xfId="3" applyFont="1" applyFill="1" applyBorder="1"/>
    <xf numFmtId="175" fontId="4" fillId="5" borderId="0" xfId="0" applyNumberFormat="1" applyFont="1" applyFill="1" applyAlignment="1">
      <alignment horizontal="right"/>
    </xf>
    <xf numFmtId="174" fontId="4" fillId="5" borderId="0" xfId="0" applyNumberFormat="1" applyFont="1" applyFill="1" applyAlignment="1">
      <alignment horizontal="right"/>
    </xf>
    <xf numFmtId="0" fontId="18" fillId="5" borderId="0" xfId="0" applyFont="1" applyFill="1" applyAlignment="1">
      <alignment horizontal="right"/>
    </xf>
    <xf numFmtId="9" fontId="4" fillId="5" borderId="0" xfId="3" applyFont="1" applyFill="1" applyBorder="1" applyAlignment="1">
      <alignment horizontal="right"/>
    </xf>
    <xf numFmtId="2" fontId="4" fillId="5" borderId="0" xfId="0" applyNumberFormat="1" applyFont="1" applyFill="1" applyAlignment="1">
      <alignment horizontal="right"/>
    </xf>
    <xf numFmtId="168" fontId="4" fillId="5" borderId="0" xfId="0" applyNumberFormat="1" applyFont="1" applyFill="1" applyAlignment="1">
      <alignment horizontal="right"/>
    </xf>
    <xf numFmtId="44" fontId="4" fillId="5" borderId="0" xfId="0" applyNumberFormat="1" applyFont="1" applyFill="1" applyAlignment="1">
      <alignment horizontal="right"/>
    </xf>
    <xf numFmtId="9" fontId="4" fillId="5" borderId="44" xfId="3" applyFont="1" applyFill="1" applyBorder="1"/>
    <xf numFmtId="2" fontId="4" fillId="5" borderId="44" xfId="0" applyNumberFormat="1" applyFont="1" applyFill="1" applyBorder="1"/>
    <xf numFmtId="176" fontId="4" fillId="5" borderId="0" xfId="0" applyNumberFormat="1" applyFont="1" applyFill="1" applyAlignment="1">
      <alignment horizontal="right"/>
    </xf>
    <xf numFmtId="164" fontId="4" fillId="5" borderId="0" xfId="3" applyNumberFormat="1" applyFont="1" applyFill="1" applyBorder="1" applyAlignment="1" applyProtection="1">
      <alignment horizontal="right"/>
    </xf>
    <xf numFmtId="164" fontId="4" fillId="9" borderId="0" xfId="3" applyNumberFormat="1" applyFont="1" applyFill="1" applyBorder="1" applyAlignment="1" applyProtection="1">
      <alignment horizontal="right"/>
    </xf>
    <xf numFmtId="177" fontId="4" fillId="5" borderId="0" xfId="0" applyNumberFormat="1" applyFont="1" applyFill="1" applyAlignment="1">
      <alignment horizontal="right"/>
    </xf>
    <xf numFmtId="4" fontId="4" fillId="5" borderId="0" xfId="0" applyNumberFormat="1" applyFont="1" applyFill="1" applyAlignment="1">
      <alignment horizontal="right"/>
    </xf>
    <xf numFmtId="165" fontId="4" fillId="5" borderId="0" xfId="0" applyNumberFormat="1" applyFont="1" applyFill="1" applyAlignment="1">
      <alignment horizontal="right"/>
    </xf>
    <xf numFmtId="0" fontId="16" fillId="5" borderId="0" xfId="0" applyFont="1" applyFill="1"/>
    <xf numFmtId="0" fontId="19" fillId="5" borderId="0" xfId="0" applyFont="1" applyFill="1" applyAlignment="1">
      <alignment horizontal="center"/>
    </xf>
    <xf numFmtId="169" fontId="4" fillId="5" borderId="0" xfId="2" applyNumberFormat="1" applyFont="1" applyFill="1" applyBorder="1" applyAlignment="1"/>
    <xf numFmtId="173" fontId="4" fillId="5" borderId="0" xfId="0" applyNumberFormat="1" applyFont="1" applyFill="1"/>
    <xf numFmtId="3" fontId="6" fillId="3" borderId="15" xfId="1" applyNumberFormat="1" applyFont="1" applyFill="1" applyBorder="1" applyProtection="1">
      <protection locked="0"/>
    </xf>
    <xf numFmtId="3" fontId="6" fillId="0" borderId="41" xfId="1" applyNumberFormat="1" applyFont="1" applyFill="1" applyBorder="1" applyProtection="1">
      <protection locked="0"/>
    </xf>
    <xf numFmtId="0" fontId="4" fillId="11" borderId="15" xfId="0" applyFont="1" applyFill="1" applyBorder="1" applyAlignment="1">
      <alignment horizontal="left"/>
    </xf>
    <xf numFmtId="9" fontId="4" fillId="0" borderId="0" xfId="3" applyFont="1" applyFill="1" applyBorder="1"/>
    <xf numFmtId="9" fontId="4" fillId="0" borderId="0" xfId="3" applyFont="1" applyFill="1" applyBorder="1" applyAlignment="1"/>
    <xf numFmtId="9" fontId="4" fillId="0" borderId="0" xfId="3" applyFont="1" applyFill="1" applyBorder="1" applyAlignment="1">
      <alignment horizontal="right"/>
    </xf>
    <xf numFmtId="168" fontId="4" fillId="5" borderId="4" xfId="0" applyNumberFormat="1" applyFont="1" applyFill="1" applyBorder="1"/>
    <xf numFmtId="180" fontId="4" fillId="5" borderId="0" xfId="0" applyNumberFormat="1" applyFont="1" applyFill="1" applyAlignment="1">
      <alignment horizontal="right"/>
    </xf>
    <xf numFmtId="0" fontId="4" fillId="0" borderId="14" xfId="0" applyFont="1" applyBorder="1" applyAlignment="1">
      <alignment horizontal="right"/>
    </xf>
    <xf numFmtId="0" fontId="21" fillId="0" borderId="0" xfId="0" applyFont="1"/>
    <xf numFmtId="3" fontId="4" fillId="3" borderId="0" xfId="2" applyNumberFormat="1" applyFont="1" applyFill="1" applyBorder="1"/>
    <xf numFmtId="169" fontId="4" fillId="3" borderId="4" xfId="0" applyNumberFormat="1" applyFont="1" applyFill="1" applyBorder="1" applyAlignment="1">
      <alignment horizontal="right"/>
    </xf>
    <xf numFmtId="167" fontId="4" fillId="3" borderId="4" xfId="2" applyNumberFormat="1" applyFont="1" applyFill="1" applyBorder="1"/>
    <xf numFmtId="164" fontId="4" fillId="3" borderId="4" xfId="3" applyNumberFormat="1" applyFont="1" applyFill="1" applyBorder="1"/>
    <xf numFmtId="3" fontId="22" fillId="0" borderId="4" xfId="0" applyNumberFormat="1" applyFont="1" applyBorder="1"/>
    <xf numFmtId="3" fontId="6" fillId="12" borderId="4" xfId="1" applyNumberFormat="1" applyFont="1" applyFill="1" applyBorder="1" applyProtection="1">
      <protection locked="0"/>
    </xf>
    <xf numFmtId="0" fontId="4" fillId="0" borderId="27" xfId="0" applyFont="1" applyBorder="1"/>
    <xf numFmtId="164" fontId="4" fillId="0" borderId="27" xfId="0" applyNumberFormat="1" applyFont="1" applyBorder="1"/>
    <xf numFmtId="0" fontId="4" fillId="10" borderId="4" xfId="0" applyFont="1" applyFill="1" applyBorder="1"/>
    <xf numFmtId="164" fontId="4" fillId="10" borderId="4" xfId="0" applyNumberFormat="1" applyFont="1" applyFill="1" applyBorder="1"/>
    <xf numFmtId="164" fontId="4" fillId="10" borderId="4" xfId="3" applyNumberFormat="1" applyFont="1" applyFill="1" applyBorder="1"/>
    <xf numFmtId="164" fontId="4" fillId="10" borderId="4" xfId="0" applyNumberFormat="1" applyFont="1" applyFill="1" applyBorder="1" applyAlignment="1">
      <alignment horizontal="right"/>
    </xf>
    <xf numFmtId="0" fontId="4" fillId="10" borderId="15" xfId="0" applyFont="1" applyFill="1" applyBorder="1"/>
    <xf numFmtId="164" fontId="4" fillId="0" borderId="21" xfId="0" applyNumberFormat="1" applyFont="1" applyBorder="1" applyAlignment="1">
      <alignment horizontal="right"/>
    </xf>
    <xf numFmtId="164" fontId="4" fillId="0" borderId="14" xfId="0" applyNumberFormat="1" applyFont="1" applyBorder="1" applyAlignment="1">
      <alignment horizontal="right"/>
    </xf>
    <xf numFmtId="173" fontId="4" fillId="0" borderId="0" xfId="0" applyNumberFormat="1" applyFont="1"/>
    <xf numFmtId="44" fontId="4" fillId="0" borderId="4" xfId="2" applyFont="1" applyBorder="1"/>
    <xf numFmtId="169" fontId="7" fillId="3" borderId="0" xfId="1" applyNumberFormat="1" applyFont="1" applyFill="1" applyBorder="1"/>
    <xf numFmtId="170" fontId="4" fillId="0" borderId="16" xfId="1" applyNumberFormat="1" applyFont="1" applyFill="1" applyBorder="1" applyProtection="1"/>
    <xf numFmtId="164" fontId="8" fillId="0" borderId="0" xfId="3" applyNumberFormat="1" applyFont="1" applyFill="1" applyBorder="1" applyProtection="1"/>
    <xf numFmtId="164" fontId="8" fillId="0" borderId="0" xfId="3" applyNumberFormat="1" applyFont="1" applyFill="1" applyBorder="1"/>
    <xf numFmtId="0" fontId="8" fillId="0" borderId="0" xfId="0" applyFont="1"/>
    <xf numFmtId="0" fontId="20" fillId="5" borderId="0" xfId="0" applyFont="1" applyFill="1"/>
    <xf numFmtId="0" fontId="20" fillId="0" borderId="0" xfId="0" applyFont="1"/>
    <xf numFmtId="1" fontId="20" fillId="0" borderId="0" xfId="0" applyNumberFormat="1" applyFont="1"/>
    <xf numFmtId="3" fontId="4" fillId="0" borderId="0" xfId="3" applyNumberFormat="1" applyFont="1" applyFill="1" applyBorder="1" applyProtection="1"/>
    <xf numFmtId="3" fontId="4" fillId="0" borderId="16" xfId="3" applyNumberFormat="1" applyFont="1" applyFill="1" applyBorder="1" applyProtection="1"/>
    <xf numFmtId="3" fontId="7" fillId="3" borderId="0" xfId="1" applyNumberFormat="1" applyFont="1" applyFill="1" applyBorder="1"/>
    <xf numFmtId="1" fontId="6" fillId="0" borderId="12" xfId="0" applyNumberFormat="1" applyFont="1" applyBorder="1"/>
    <xf numFmtId="1" fontId="4" fillId="0" borderId="0" xfId="0" applyNumberFormat="1" applyFont="1" applyAlignment="1">
      <alignment horizontal="right"/>
    </xf>
    <xf numFmtId="0" fontId="4" fillId="0" borderId="6" xfId="0" applyFont="1" applyBorder="1" applyAlignment="1">
      <alignment horizontal="right"/>
    </xf>
    <xf numFmtId="1" fontId="4" fillId="0" borderId="2" xfId="0" applyNumberFormat="1" applyFont="1" applyBorder="1"/>
    <xf numFmtId="1" fontId="4" fillId="0" borderId="7" xfId="0" applyNumberFormat="1" applyFont="1" applyBorder="1"/>
    <xf numFmtId="10" fontId="4" fillId="3" borderId="4" xfId="3" applyNumberFormat="1" applyFont="1" applyFill="1" applyBorder="1"/>
    <xf numFmtId="1" fontId="6" fillId="0" borderId="2" xfId="0" applyNumberFormat="1" applyFont="1" applyBorder="1"/>
    <xf numFmtId="4" fontId="6" fillId="0" borderId="4" xfId="1" applyNumberFormat="1" applyFont="1" applyFill="1" applyBorder="1" applyProtection="1">
      <protection locked="0"/>
    </xf>
    <xf numFmtId="170" fontId="7" fillId="0" borderId="0" xfId="1" applyNumberFormat="1" applyFont="1" applyBorder="1"/>
    <xf numFmtId="3" fontId="4" fillId="13" borderId="0" xfId="0" applyNumberFormat="1" applyFont="1" applyFill="1"/>
    <xf numFmtId="0" fontId="4" fillId="13" borderId="0" xfId="0" applyFont="1" applyFill="1"/>
    <xf numFmtId="3" fontId="4" fillId="13" borderId="0" xfId="1" applyNumberFormat="1" applyFont="1" applyFill="1" applyBorder="1"/>
    <xf numFmtId="3" fontId="4" fillId="0" borderId="35" xfId="0" applyNumberFormat="1" applyFont="1" applyBorder="1"/>
    <xf numFmtId="10" fontId="4" fillId="5" borderId="0" xfId="3" applyNumberFormat="1" applyFont="1" applyFill="1" applyBorder="1"/>
    <xf numFmtId="167" fontId="6" fillId="3" borderId="4" xfId="4" applyNumberFormat="1" applyFont="1" applyFill="1" applyBorder="1"/>
    <xf numFmtId="10" fontId="4" fillId="5" borderId="4" xfId="5" applyNumberFormat="1" applyFont="1" applyFill="1" applyBorder="1"/>
    <xf numFmtId="164" fontId="4" fillId="5" borderId="21" xfId="0" applyNumberFormat="1" applyFont="1" applyFill="1" applyBorder="1" applyAlignment="1">
      <alignment horizontal="right"/>
    </xf>
    <xf numFmtId="164" fontId="4" fillId="5" borderId="14" xfId="0" applyNumberFormat="1" applyFont="1" applyFill="1" applyBorder="1" applyAlignment="1">
      <alignment horizontal="right"/>
    </xf>
    <xf numFmtId="3" fontId="1" fillId="0" borderId="4" xfId="0" applyNumberFormat="1" applyFont="1" applyBorder="1"/>
    <xf numFmtId="0" fontId="1" fillId="5" borderId="0" xfId="0" applyFont="1" applyFill="1"/>
    <xf numFmtId="9" fontId="6" fillId="13" borderId="0" xfId="3" applyFont="1" applyFill="1" applyBorder="1"/>
    <xf numFmtId="0" fontId="1" fillId="0" borderId="0" xfId="0" applyFont="1"/>
    <xf numFmtId="3" fontId="4" fillId="5" borderId="0" xfId="0" applyNumberFormat="1" applyFont="1" applyFill="1" applyAlignment="1">
      <alignment horizontal="right" wrapText="1"/>
    </xf>
    <xf numFmtId="10" fontId="4" fillId="0" borderId="0" xfId="3" applyNumberFormat="1" applyFont="1" applyFill="1" applyBorder="1"/>
    <xf numFmtId="167" fontId="4" fillId="0" borderId="0" xfId="2" applyNumberFormat="1" applyFont="1" applyFill="1" applyBorder="1"/>
    <xf numFmtId="0" fontId="4" fillId="14" borderId="0" xfId="0" applyFont="1" applyFill="1"/>
    <xf numFmtId="167" fontId="4" fillId="15" borderId="4" xfId="2" applyNumberFormat="1" applyFont="1" applyFill="1" applyBorder="1"/>
    <xf numFmtId="10" fontId="4" fillId="15" borderId="4" xfId="3" applyNumberFormat="1" applyFont="1" applyFill="1" applyBorder="1"/>
    <xf numFmtId="164" fontId="4" fillId="15" borderId="4" xfId="3" applyNumberFormat="1" applyFont="1" applyFill="1" applyBorder="1"/>
    <xf numFmtId="0" fontId="4" fillId="6" borderId="34" xfId="0" applyFont="1" applyFill="1" applyBorder="1" applyAlignment="1">
      <alignment horizontal="left"/>
    </xf>
    <xf numFmtId="0" fontId="4" fillId="6" borderId="8" xfId="0" applyFont="1" applyFill="1" applyBorder="1" applyAlignment="1">
      <alignment horizontal="left"/>
    </xf>
    <xf numFmtId="0" fontId="4" fillId="6" borderId="44" xfId="0" applyFont="1" applyFill="1" applyBorder="1" applyAlignment="1">
      <alignment horizontal="left"/>
    </xf>
    <xf numFmtId="0" fontId="4" fillId="5" borderId="0" xfId="0" quotePrefix="1" applyFont="1" applyFill="1"/>
    <xf numFmtId="0" fontId="4" fillId="5" borderId="33" xfId="0" applyFont="1" applyFill="1" applyBorder="1"/>
    <xf numFmtId="177" fontId="4" fillId="5" borderId="0" xfId="0" applyNumberFormat="1" applyFont="1" applyFill="1"/>
    <xf numFmtId="3" fontId="1" fillId="0" borderId="0" xfId="0" applyNumberFormat="1" applyFont="1"/>
    <xf numFmtId="166" fontId="4" fillId="9" borderId="0" xfId="1" applyNumberFormat="1" applyFont="1" applyFill="1" applyBorder="1"/>
    <xf numFmtId="10" fontId="4" fillId="5" borderId="39" xfId="3" applyNumberFormat="1" applyFont="1" applyFill="1" applyBorder="1"/>
    <xf numFmtId="10" fontId="4" fillId="5" borderId="29" xfId="3" applyNumberFormat="1" applyFont="1" applyFill="1" applyBorder="1"/>
    <xf numFmtId="3" fontId="6" fillId="16" borderId="4" xfId="1" applyNumberFormat="1" applyFont="1" applyFill="1" applyBorder="1" applyProtection="1">
      <protection locked="0"/>
    </xf>
    <xf numFmtId="169" fontId="6" fillId="16" borderId="4" xfId="1" applyNumberFormat="1" applyFont="1" applyFill="1" applyBorder="1" applyProtection="1">
      <protection locked="0"/>
    </xf>
    <xf numFmtId="169" fontId="6" fillId="16" borderId="4" xfId="0" applyNumberFormat="1" applyFont="1" applyFill="1" applyBorder="1"/>
    <xf numFmtId="3" fontId="6" fillId="16" borderId="4" xfId="1" applyNumberFormat="1" applyFont="1" applyFill="1" applyBorder="1" applyAlignment="1" applyProtection="1">
      <alignment wrapText="1"/>
      <protection locked="0"/>
    </xf>
    <xf numFmtId="3" fontId="6" fillId="16" borderId="4" xfId="0" applyNumberFormat="1" applyFont="1" applyFill="1" applyBorder="1" applyProtection="1">
      <protection locked="0"/>
    </xf>
    <xf numFmtId="3" fontId="6" fillId="16" borderId="4" xfId="0" applyNumberFormat="1" applyFont="1" applyFill="1" applyBorder="1"/>
    <xf numFmtId="3" fontId="23" fillId="17" borderId="4" xfId="1" applyNumberFormat="1" applyFont="1" applyFill="1" applyBorder="1" applyProtection="1">
      <protection locked="0"/>
    </xf>
    <xf numFmtId="3" fontId="1" fillId="17" borderId="4" xfId="1" applyNumberFormat="1" applyFont="1" applyFill="1" applyBorder="1" applyProtection="1">
      <protection locked="0"/>
    </xf>
    <xf numFmtId="182" fontId="4" fillId="0" borderId="4" xfId="1" applyNumberFormat="1" applyFont="1" applyFill="1" applyBorder="1" applyProtection="1">
      <protection locked="0"/>
    </xf>
    <xf numFmtId="3" fontId="4" fillId="13" borderId="4" xfId="0" applyNumberFormat="1" applyFont="1" applyFill="1" applyBorder="1"/>
    <xf numFmtId="1" fontId="4" fillId="13" borderId="4" xfId="0" applyNumberFormat="1" applyFont="1" applyFill="1" applyBorder="1" applyProtection="1">
      <protection locked="0"/>
    </xf>
    <xf numFmtId="0" fontId="4" fillId="13" borderId="4" xfId="0" applyFont="1" applyFill="1" applyBorder="1" applyProtection="1">
      <protection locked="0"/>
    </xf>
    <xf numFmtId="0" fontId="7" fillId="3" borderId="0" xfId="0" applyFont="1" applyFill="1" applyAlignment="1">
      <alignment wrapText="1"/>
    </xf>
    <xf numFmtId="3" fontId="6" fillId="18" borderId="4" xfId="1" applyNumberFormat="1" applyFont="1" applyFill="1" applyBorder="1" applyProtection="1">
      <protection locked="0"/>
    </xf>
    <xf numFmtId="3" fontId="6" fillId="3" borderId="15" xfId="0" applyNumberFormat="1" applyFont="1" applyFill="1" applyBorder="1" applyAlignment="1" applyProtection="1">
      <alignment wrapText="1"/>
      <protection locked="0"/>
    </xf>
    <xf numFmtId="3" fontId="1" fillId="2" borderId="5" xfId="0" applyNumberFormat="1" applyFont="1" applyFill="1" applyBorder="1"/>
    <xf numFmtId="3" fontId="1" fillId="2" borderId="6" xfId="0" applyNumberFormat="1" applyFont="1" applyFill="1" applyBorder="1"/>
    <xf numFmtId="3" fontId="1" fillId="2" borderId="7" xfId="0" applyNumberFormat="1" applyFont="1" applyFill="1" applyBorder="1"/>
    <xf numFmtId="3" fontId="1" fillId="0" borderId="8" xfId="0" applyNumberFormat="1" applyFont="1" applyBorder="1"/>
    <xf numFmtId="3" fontId="1" fillId="2" borderId="0" xfId="0" applyNumberFormat="1" applyFont="1" applyFill="1"/>
    <xf numFmtId="3" fontId="1" fillId="2" borderId="10" xfId="0" applyNumberFormat="1" applyFont="1" applyFill="1" applyBorder="1"/>
    <xf numFmtId="3" fontId="1" fillId="2" borderId="12" xfId="0" applyNumberFormat="1" applyFont="1" applyFill="1" applyBorder="1"/>
    <xf numFmtId="3" fontId="1" fillId="2" borderId="13" xfId="0" applyNumberFormat="1" applyFont="1" applyFill="1" applyBorder="1"/>
    <xf numFmtId="3" fontId="1" fillId="2" borderId="9" xfId="0" applyNumberFormat="1" applyFont="1" applyFill="1" applyBorder="1"/>
    <xf numFmtId="3" fontId="1" fillId="0" borderId="39" xfId="0" applyNumberFormat="1" applyFont="1" applyBorder="1"/>
    <xf numFmtId="3" fontId="1" fillId="0" borderId="40" xfId="0" applyNumberFormat="1" applyFont="1" applyBorder="1"/>
    <xf numFmtId="3" fontId="1" fillId="0" borderId="14" xfId="0" applyNumberFormat="1" applyFont="1" applyBorder="1"/>
    <xf numFmtId="3" fontId="1" fillId="0" borderId="4" xfId="0" applyNumberFormat="1" applyFont="1" applyBorder="1" applyProtection="1">
      <protection locked="0"/>
    </xf>
    <xf numFmtId="2" fontId="1" fillId="0" borderId="4" xfId="3" applyNumberFormat="1" applyFont="1" applyBorder="1"/>
    <xf numFmtId="10" fontId="1" fillId="0" borderId="4" xfId="3" applyNumberFormat="1" applyFont="1" applyBorder="1"/>
    <xf numFmtId="0" fontId="1" fillId="0" borderId="4" xfId="0" applyFont="1" applyBorder="1"/>
    <xf numFmtId="164" fontId="1" fillId="0" borderId="4" xfId="3" applyNumberFormat="1" applyFont="1" applyBorder="1"/>
    <xf numFmtId="165" fontId="1" fillId="0" borderId="4" xfId="3" applyNumberFormat="1" applyFont="1" applyBorder="1"/>
    <xf numFmtId="169" fontId="1" fillId="0" borderId="4" xfId="0" applyNumberFormat="1" applyFont="1" applyBorder="1" applyProtection="1">
      <protection locked="0"/>
    </xf>
    <xf numFmtId="169" fontId="1" fillId="0" borderId="4" xfId="0" applyNumberFormat="1" applyFont="1" applyBorder="1"/>
    <xf numFmtId="164" fontId="1" fillId="0" borderId="4" xfId="3" applyNumberFormat="1" applyFont="1" applyBorder="1" applyProtection="1">
      <protection locked="0"/>
    </xf>
    <xf numFmtId="164" fontId="1" fillId="0" borderId="4" xfId="3" applyNumberFormat="1" applyFont="1" applyFill="1" applyBorder="1" applyProtection="1">
      <protection locked="0"/>
    </xf>
    <xf numFmtId="3" fontId="1" fillId="0" borderId="4" xfId="0" applyNumberFormat="1" applyFont="1" applyBorder="1" applyAlignment="1">
      <alignment wrapText="1"/>
    </xf>
    <xf numFmtId="171" fontId="1" fillId="0" borderId="4" xfId="2" applyNumberFormat="1" applyFont="1" applyBorder="1"/>
    <xf numFmtId="3" fontId="1" fillId="10" borderId="4" xfId="0" applyNumberFormat="1" applyFont="1" applyFill="1" applyBorder="1" applyProtection="1">
      <protection hidden="1"/>
    </xf>
    <xf numFmtId="9" fontId="1" fillId="0" borderId="4" xfId="3" applyFont="1" applyBorder="1"/>
    <xf numFmtId="3" fontId="1" fillId="2" borderId="11" xfId="0" applyNumberFormat="1" applyFont="1" applyFill="1" applyBorder="1"/>
    <xf numFmtId="0" fontId="1" fillId="0" borderId="6" xfId="0" applyFont="1" applyBorder="1"/>
    <xf numFmtId="3" fontId="1" fillId="0" borderId="6" xfId="0" applyNumberFormat="1" applyFont="1" applyBorder="1"/>
    <xf numFmtId="0" fontId="1" fillId="2" borderId="19" xfId="0" applyFont="1" applyFill="1" applyBorder="1"/>
    <xf numFmtId="0" fontId="1" fillId="2" borderId="20" xfId="0" applyFont="1" applyFill="1" applyBorder="1"/>
    <xf numFmtId="0" fontId="1" fillId="0" borderId="14" xfId="0" applyFont="1" applyBorder="1"/>
    <xf numFmtId="0" fontId="1" fillId="5" borderId="22" xfId="0" applyFont="1" applyFill="1" applyBorder="1"/>
    <xf numFmtId="3" fontId="1" fillId="4" borderId="4" xfId="0" applyNumberFormat="1" applyFont="1" applyFill="1" applyBorder="1"/>
    <xf numFmtId="3" fontId="1" fillId="4" borderId="23" xfId="0" applyNumberFormat="1" applyFont="1" applyFill="1" applyBorder="1"/>
    <xf numFmtId="0" fontId="1" fillId="5" borderId="25" xfId="0" applyFont="1" applyFill="1" applyBorder="1"/>
    <xf numFmtId="0" fontId="1" fillId="5" borderId="26" xfId="0" applyFont="1" applyFill="1" applyBorder="1"/>
    <xf numFmtId="0" fontId="1" fillId="5" borderId="27" xfId="0" applyFont="1" applyFill="1" applyBorder="1"/>
    <xf numFmtId="0" fontId="1" fillId="5" borderId="12" xfId="0" applyFont="1" applyFill="1" applyBorder="1"/>
    <xf numFmtId="0" fontId="1" fillId="2" borderId="6" xfId="0" applyFont="1" applyFill="1" applyBorder="1"/>
    <xf numFmtId="0" fontId="1" fillId="2" borderId="10" xfId="0" applyFont="1" applyFill="1" applyBorder="1"/>
    <xf numFmtId="0" fontId="1" fillId="5" borderId="29" xfId="0" applyFont="1" applyFill="1" applyBorder="1"/>
    <xf numFmtId="0" fontId="1" fillId="0" borderId="4" xfId="0" quotePrefix="1" applyFont="1" applyBorder="1"/>
    <xf numFmtId="0" fontId="1" fillId="0" borderId="0" xfId="0" quotePrefix="1" applyFont="1"/>
    <xf numFmtId="0" fontId="1" fillId="5" borderId="0" xfId="0" quotePrefix="1" applyFont="1" applyFill="1"/>
    <xf numFmtId="165" fontId="1" fillId="0" borderId="0" xfId="0" applyNumberFormat="1" applyFont="1"/>
    <xf numFmtId="164" fontId="1" fillId="0" borderId="0" xfId="3" applyNumberFormat="1" applyFont="1" applyFill="1"/>
    <xf numFmtId="0" fontId="1" fillId="2" borderId="25" xfId="0" applyFont="1" applyFill="1" applyBorder="1"/>
    <xf numFmtId="0" fontId="1" fillId="2" borderId="26" xfId="0" applyFont="1" applyFill="1" applyBorder="1"/>
    <xf numFmtId="164" fontId="1" fillId="0" borderId="4" xfId="0" applyNumberFormat="1" applyFont="1" applyBorder="1"/>
    <xf numFmtId="164" fontId="1" fillId="0" borderId="0" xfId="0" applyNumberFormat="1" applyFont="1"/>
    <xf numFmtId="0" fontId="1" fillId="0" borderId="21" xfId="0" applyFont="1" applyBorder="1"/>
    <xf numFmtId="164" fontId="1" fillId="0" borderId="12" xfId="0" applyNumberFormat="1" applyFont="1" applyBorder="1"/>
    <xf numFmtId="164" fontId="1" fillId="0" borderId="0" xfId="3" applyNumberFormat="1" applyFont="1" applyBorder="1"/>
    <xf numFmtId="0" fontId="1" fillId="0" borderId="12" xfId="0" applyFont="1" applyBorder="1"/>
    <xf numFmtId="164" fontId="1" fillId="0" borderId="12" xfId="3" applyNumberFormat="1" applyFont="1" applyBorder="1"/>
    <xf numFmtId="0" fontId="1" fillId="2" borderId="12" xfId="0" applyFont="1" applyFill="1" applyBorder="1"/>
    <xf numFmtId="0" fontId="1" fillId="2" borderId="13" xfId="0" applyFont="1" applyFill="1" applyBorder="1"/>
    <xf numFmtId="0" fontId="1" fillId="5" borderId="21" xfId="0" applyFont="1" applyFill="1" applyBorder="1"/>
    <xf numFmtId="0" fontId="1" fillId="5" borderId="14" xfId="0" applyFont="1" applyFill="1" applyBorder="1"/>
    <xf numFmtId="164" fontId="1" fillId="0" borderId="4" xfId="0" applyNumberFormat="1" applyFont="1" applyBorder="1" applyAlignment="1">
      <alignment horizontal="right"/>
    </xf>
    <xf numFmtId="0" fontId="1" fillId="5" borderId="4" xfId="0" applyFont="1" applyFill="1" applyBorder="1"/>
    <xf numFmtId="164" fontId="1" fillId="0" borderId="0" xfId="0" applyNumberFormat="1" applyFont="1" applyAlignment="1">
      <alignment horizontal="right"/>
    </xf>
    <xf numFmtId="0" fontId="1" fillId="2" borderId="25" xfId="0" applyFont="1" applyFill="1" applyBorder="1" applyAlignment="1">
      <alignment horizontal="right"/>
    </xf>
    <xf numFmtId="0" fontId="1" fillId="2" borderId="26" xfId="0" applyFont="1" applyFill="1" applyBorder="1" applyAlignment="1">
      <alignment horizontal="right"/>
    </xf>
    <xf numFmtId="0" fontId="1" fillId="5" borderId="0" xfId="0" applyFont="1" applyFill="1" applyAlignment="1">
      <alignment horizontal="right"/>
    </xf>
    <xf numFmtId="0" fontId="1" fillId="0" borderId="15" xfId="0" applyFont="1" applyBorder="1"/>
    <xf numFmtId="164" fontId="1" fillId="5" borderId="0" xfId="0" applyNumberFormat="1" applyFont="1" applyFill="1"/>
    <xf numFmtId="0" fontId="1" fillId="5" borderId="10" xfId="0" applyFont="1" applyFill="1" applyBorder="1"/>
    <xf numFmtId="0" fontId="1" fillId="0" borderId="9" xfId="0" applyFont="1" applyBorder="1"/>
    <xf numFmtId="0" fontId="1" fillId="5" borderId="9" xfId="0" applyFont="1" applyFill="1" applyBorder="1" applyAlignment="1">
      <alignment horizontal="right"/>
    </xf>
    <xf numFmtId="165" fontId="1" fillId="5" borderId="0" xfId="0" applyNumberFormat="1" applyFont="1" applyFill="1" applyAlignment="1">
      <alignment horizontal="right"/>
    </xf>
    <xf numFmtId="164" fontId="1" fillId="5" borderId="0" xfId="0" applyNumberFormat="1" applyFont="1" applyFill="1" applyAlignment="1">
      <alignment horizontal="right"/>
    </xf>
    <xf numFmtId="0" fontId="1" fillId="0" borderId="10" xfId="0" applyFont="1" applyBorder="1"/>
    <xf numFmtId="3" fontId="1" fillId="5" borderId="0" xfId="0" applyNumberFormat="1" applyFont="1" applyFill="1"/>
    <xf numFmtId="164" fontId="1" fillId="5" borderId="0" xfId="3" applyNumberFormat="1" applyFont="1" applyFill="1" applyBorder="1"/>
    <xf numFmtId="0" fontId="1" fillId="5" borderId="9" xfId="0" applyFont="1" applyFill="1" applyBorder="1"/>
    <xf numFmtId="166" fontId="1" fillId="5" borderId="0" xfId="1" applyNumberFormat="1" applyFont="1" applyFill="1" applyBorder="1" applyAlignment="1">
      <alignment horizontal="right"/>
    </xf>
    <xf numFmtId="168" fontId="1" fillId="5" borderId="0" xfId="0" applyNumberFormat="1" applyFont="1" applyFill="1" applyAlignment="1">
      <alignment horizontal="right"/>
    </xf>
    <xf numFmtId="3" fontId="1" fillId="5" borderId="0" xfId="0" applyNumberFormat="1" applyFont="1" applyFill="1" applyAlignment="1">
      <alignment horizontal="right"/>
    </xf>
    <xf numFmtId="170" fontId="1" fillId="0" borderId="0" xfId="1" applyNumberFormat="1" applyFont="1" applyFill="1" applyBorder="1" applyAlignment="1">
      <alignment horizontal="right"/>
    </xf>
    <xf numFmtId="170" fontId="1" fillId="5" borderId="0" xfId="0" applyNumberFormat="1" applyFont="1" applyFill="1"/>
    <xf numFmtId="170" fontId="1" fillId="5" borderId="0" xfId="1" applyNumberFormat="1" applyFont="1" applyFill="1" applyBorder="1" applyAlignment="1">
      <alignment horizontal="right"/>
    </xf>
    <xf numFmtId="181" fontId="1" fillId="5" borderId="0" xfId="1" applyNumberFormat="1" applyFont="1" applyFill="1" applyBorder="1" applyAlignment="1">
      <alignment horizontal="right"/>
    </xf>
    <xf numFmtId="181" fontId="1" fillId="5" borderId="0" xfId="0" applyNumberFormat="1" applyFont="1" applyFill="1"/>
    <xf numFmtId="166" fontId="1" fillId="5" borderId="0" xfId="1" applyNumberFormat="1" applyFont="1" applyFill="1" applyBorder="1"/>
    <xf numFmtId="165" fontId="1" fillId="5" borderId="10" xfId="0" applyNumberFormat="1" applyFont="1" applyFill="1" applyBorder="1"/>
    <xf numFmtId="0" fontId="1" fillId="5" borderId="11" xfId="0" applyFont="1" applyFill="1" applyBorder="1"/>
    <xf numFmtId="0" fontId="1" fillId="5" borderId="13" xfId="0" applyFont="1" applyFill="1" applyBorder="1"/>
    <xf numFmtId="0" fontId="1" fillId="0" borderId="0" xfId="0" applyFont="1" applyAlignment="1">
      <alignment horizontal="right"/>
    </xf>
    <xf numFmtId="3" fontId="1" fillId="0" borderId="4" xfId="0" applyNumberFormat="1" applyFont="1" applyBorder="1" applyAlignment="1">
      <alignment horizontal="right"/>
    </xf>
    <xf numFmtId="0" fontId="1" fillId="2" borderId="2" xfId="0" applyFont="1" applyFill="1" applyBorder="1"/>
    <xf numFmtId="0" fontId="1" fillId="2" borderId="31" xfId="0" applyFont="1" applyFill="1" applyBorder="1"/>
    <xf numFmtId="0" fontId="1" fillId="2" borderId="0" xfId="0" applyFont="1" applyFill="1"/>
    <xf numFmtId="0" fontId="1" fillId="11" borderId="12" xfId="0" applyFont="1" applyFill="1" applyBorder="1"/>
    <xf numFmtId="0" fontId="1" fillId="2" borderId="16" xfId="0" applyFont="1" applyFill="1" applyBorder="1"/>
    <xf numFmtId="0" fontId="1" fillId="2" borderId="8" xfId="0" applyFont="1" applyFill="1" applyBorder="1"/>
    <xf numFmtId="0" fontId="1" fillId="6" borderId="16" xfId="0" applyFont="1" applyFill="1" applyBorder="1"/>
    <xf numFmtId="0" fontId="1" fillId="6" borderId="8" xfId="0" applyFont="1" applyFill="1" applyBorder="1"/>
    <xf numFmtId="0" fontId="1" fillId="7" borderId="0" xfId="0" applyFont="1" applyFill="1"/>
    <xf numFmtId="0" fontId="1" fillId="7" borderId="0" xfId="0" applyFont="1" applyFill="1" applyAlignment="1">
      <alignment horizontal="right"/>
    </xf>
    <xf numFmtId="0" fontId="1" fillId="5" borderId="32" xfId="0" applyFont="1" applyFill="1" applyBorder="1"/>
    <xf numFmtId="0" fontId="1" fillId="2" borderId="14" xfId="0" applyFont="1" applyFill="1" applyBorder="1"/>
    <xf numFmtId="0" fontId="1" fillId="3" borderId="14" xfId="0" applyFont="1" applyFill="1" applyBorder="1"/>
    <xf numFmtId="164" fontId="1" fillId="0" borderId="0" xfId="3" applyNumberFormat="1" applyFont="1" applyFill="1" applyBorder="1" applyProtection="1"/>
    <xf numFmtId="0" fontId="1" fillId="3" borderId="0" xfId="0" applyFont="1" applyFill="1"/>
    <xf numFmtId="2" fontId="1" fillId="0" borderId="0" xfId="3" applyNumberFormat="1" applyFont="1" applyFill="1" applyBorder="1"/>
    <xf numFmtId="164" fontId="1" fillId="0" borderId="0" xfId="3" applyNumberFormat="1" applyFont="1" applyFill="1" applyBorder="1"/>
    <xf numFmtId="10" fontId="1" fillId="0" borderId="0" xfId="3" applyNumberFormat="1" applyFont="1"/>
    <xf numFmtId="165" fontId="1" fillId="0" borderId="0" xfId="3" applyNumberFormat="1" applyFont="1" applyFill="1" applyBorder="1"/>
    <xf numFmtId="2" fontId="1" fillId="0" borderId="0" xfId="0" applyNumberFormat="1" applyFont="1"/>
    <xf numFmtId="0" fontId="1" fillId="2" borderId="22" xfId="0" applyFont="1" applyFill="1" applyBorder="1"/>
    <xf numFmtId="0" fontId="1" fillId="3" borderId="34" xfId="0" applyFont="1" applyFill="1" applyBorder="1"/>
    <xf numFmtId="1" fontId="1" fillId="0" borderId="0" xfId="0" applyNumberFormat="1" applyFont="1"/>
    <xf numFmtId="10" fontId="1" fillId="0" borderId="0" xfId="3" applyNumberFormat="1" applyFont="1" applyFill="1" applyBorder="1" applyProtection="1"/>
    <xf numFmtId="164" fontId="1" fillId="0" borderId="0" xfId="3" applyNumberFormat="1" applyFont="1"/>
    <xf numFmtId="164" fontId="1" fillId="0" borderId="0" xfId="3" applyNumberFormat="1" applyFont="1" applyBorder="1" applyProtection="1"/>
    <xf numFmtId="0" fontId="1" fillId="0" borderId="5" xfId="0" applyFont="1" applyBorder="1"/>
    <xf numFmtId="0" fontId="1" fillId="0" borderId="11" xfId="0" applyFont="1" applyBorder="1"/>
    <xf numFmtId="0" fontId="1" fillId="0" borderId="2" xfId="0" applyFont="1" applyBorder="1"/>
    <xf numFmtId="0" fontId="1" fillId="5" borderId="33" xfId="0" applyFont="1" applyFill="1" applyBorder="1"/>
    <xf numFmtId="0" fontId="1" fillId="5" borderId="33" xfId="0" applyFont="1" applyFill="1" applyBorder="1" applyProtection="1">
      <protection locked="0"/>
    </xf>
    <xf numFmtId="0" fontId="1" fillId="5" borderId="0" xfId="0" quotePrefix="1" applyFont="1" applyFill="1" applyAlignment="1">
      <alignment horizontal="right"/>
    </xf>
    <xf numFmtId="0" fontId="1" fillId="2" borderId="29" xfId="0" applyFont="1" applyFill="1" applyBorder="1"/>
    <xf numFmtId="0" fontId="1" fillId="2" borderId="36" xfId="0" applyFont="1" applyFill="1" applyBorder="1"/>
    <xf numFmtId="0" fontId="1" fillId="2" borderId="27" xfId="0" applyFont="1" applyFill="1" applyBorder="1"/>
    <xf numFmtId="0" fontId="1" fillId="0" borderId="16" xfId="0" applyFont="1" applyBorder="1"/>
    <xf numFmtId="175" fontId="1" fillId="0" borderId="0" xfId="0" applyNumberFormat="1" applyFont="1"/>
    <xf numFmtId="0" fontId="1" fillId="2" borderId="3" xfId="0" applyFont="1" applyFill="1" applyBorder="1"/>
    <xf numFmtId="3" fontId="1" fillId="4" borderId="38" xfId="0" applyNumberFormat="1" applyFont="1" applyFill="1" applyBorder="1"/>
    <xf numFmtId="0" fontId="1" fillId="4" borderId="27" xfId="0" applyFont="1" applyFill="1" applyBorder="1"/>
    <xf numFmtId="44" fontId="1" fillId="4" borderId="39" xfId="0" applyNumberFormat="1" applyFont="1" applyFill="1" applyBorder="1"/>
    <xf numFmtId="44" fontId="1" fillId="4" borderId="40" xfId="0" applyNumberFormat="1" applyFont="1" applyFill="1" applyBorder="1"/>
    <xf numFmtId="3" fontId="1" fillId="4" borderId="41" xfId="0" applyNumberFormat="1" applyFont="1" applyFill="1" applyBorder="1"/>
    <xf numFmtId="0" fontId="1" fillId="4" borderId="0" xfId="0" applyFont="1" applyFill="1"/>
    <xf numFmtId="44" fontId="1" fillId="4" borderId="29" xfId="0" applyNumberFormat="1" applyFont="1" applyFill="1" applyBorder="1"/>
    <xf numFmtId="44" fontId="1" fillId="4" borderId="42" xfId="0" applyNumberFormat="1" applyFont="1" applyFill="1" applyBorder="1"/>
    <xf numFmtId="3" fontId="1" fillId="4" borderId="21" xfId="0" applyNumberFormat="1" applyFont="1" applyFill="1" applyBorder="1"/>
    <xf numFmtId="0" fontId="1" fillId="4" borderId="14" xfId="0" applyFont="1" applyFill="1" applyBorder="1"/>
    <xf numFmtId="44" fontId="1" fillId="4" borderId="22" xfId="0" applyNumberFormat="1" applyFont="1" applyFill="1" applyBorder="1"/>
    <xf numFmtId="44" fontId="1" fillId="4" borderId="43" xfId="0" applyNumberFormat="1" applyFont="1" applyFill="1" applyBorder="1"/>
    <xf numFmtId="44" fontId="1" fillId="5" borderId="0" xfId="0" applyNumberFormat="1" applyFont="1" applyFill="1"/>
    <xf numFmtId="0" fontId="1" fillId="2" borderId="34" xfId="0" applyFont="1" applyFill="1" applyBorder="1"/>
    <xf numFmtId="0" fontId="1" fillId="2" borderId="15" xfId="0" applyFont="1" applyFill="1" applyBorder="1"/>
    <xf numFmtId="0" fontId="1" fillId="2" borderId="4" xfId="0" applyFont="1" applyFill="1" applyBorder="1"/>
    <xf numFmtId="0" fontId="1" fillId="2" borderId="44" xfId="0" applyFont="1" applyFill="1" applyBorder="1"/>
    <xf numFmtId="0" fontId="1" fillId="6" borderId="44" xfId="0" applyFont="1" applyFill="1" applyBorder="1"/>
    <xf numFmtId="0" fontId="1" fillId="6" borderId="34" xfId="0" applyFont="1" applyFill="1" applyBorder="1"/>
    <xf numFmtId="0" fontId="1" fillId="0" borderId="0" xfId="0" applyFont="1" applyAlignment="1">
      <alignment horizontal="left"/>
    </xf>
    <xf numFmtId="9" fontId="1" fillId="0" borderId="0" xfId="3" applyFont="1" applyBorder="1"/>
    <xf numFmtId="171" fontId="1" fillId="0" borderId="0" xfId="2" applyNumberFormat="1" applyFont="1" applyBorder="1"/>
    <xf numFmtId="169" fontId="1" fillId="0" borderId="0" xfId="0" applyNumberFormat="1" applyFont="1"/>
    <xf numFmtId="44" fontId="1" fillId="0" borderId="0" xfId="0" applyNumberFormat="1" applyFont="1"/>
    <xf numFmtId="3" fontId="6" fillId="19" borderId="4" xfId="1" applyNumberFormat="1" applyFont="1" applyFill="1" applyBorder="1" applyProtection="1">
      <protection locked="0"/>
    </xf>
    <xf numFmtId="183" fontId="4" fillId="8" borderId="0" xfId="2" applyNumberFormat="1" applyFont="1" applyFill="1" applyBorder="1" applyProtection="1"/>
    <xf numFmtId="184" fontId="4" fillId="8" borderId="0" xfId="2" applyNumberFormat="1" applyFont="1" applyFill="1" applyBorder="1" applyAlignment="1" applyProtection="1"/>
    <xf numFmtId="185" fontId="4" fillId="8" borderId="4" xfId="0" applyNumberFormat="1" applyFont="1" applyFill="1" applyBorder="1"/>
    <xf numFmtId="186" fontId="4" fillId="13" borderId="4" xfId="0" applyNumberFormat="1" applyFont="1" applyFill="1" applyBorder="1"/>
    <xf numFmtId="187" fontId="4" fillId="8" borderId="0" xfId="2" applyNumberFormat="1" applyFont="1" applyFill="1" applyBorder="1" applyAlignment="1" applyProtection="1">
      <alignment horizontal="right"/>
    </xf>
    <xf numFmtId="188" fontId="4" fillId="13" borderId="4" xfId="0" applyNumberFormat="1" applyFont="1" applyFill="1" applyBorder="1"/>
    <xf numFmtId="43" fontId="7" fillId="3" borderId="0" xfId="1" applyFont="1" applyFill="1" applyBorder="1"/>
    <xf numFmtId="2" fontId="7" fillId="3" borderId="0" xfId="0" applyNumberFormat="1" applyFont="1" applyFill="1"/>
    <xf numFmtId="3" fontId="1" fillId="13" borderId="4" xfId="0" applyNumberFormat="1" applyFont="1" applyFill="1" applyBorder="1"/>
    <xf numFmtId="3" fontId="1" fillId="13" borderId="4" xfId="0" applyNumberFormat="1" applyFont="1" applyFill="1" applyBorder="1" applyAlignment="1">
      <alignment wrapText="1"/>
    </xf>
    <xf numFmtId="10" fontId="7" fillId="3" borderId="0" xfId="3" applyNumberFormat="1" applyFont="1" applyFill="1" applyBorder="1"/>
    <xf numFmtId="0" fontId="24" fillId="0" borderId="0" xfId="6"/>
    <xf numFmtId="3" fontId="22" fillId="0" borderId="0" xfId="0" applyNumberFormat="1" applyFont="1"/>
    <xf numFmtId="3" fontId="22" fillId="0" borderId="16" xfId="0" applyNumberFormat="1" applyFont="1" applyBorder="1"/>
    <xf numFmtId="3" fontId="22" fillId="8" borderId="0" xfId="0" applyNumberFormat="1" applyFont="1" applyFill="1"/>
    <xf numFmtId="0" fontId="1" fillId="13" borderId="0" xfId="0" quotePrefix="1" applyFont="1" applyFill="1" applyAlignment="1">
      <alignment horizontal="right"/>
    </xf>
    <xf numFmtId="164" fontId="4" fillId="13" borderId="0" xfId="3" applyNumberFormat="1" applyFont="1" applyFill="1" applyBorder="1" applyProtection="1"/>
    <xf numFmtId="164" fontId="4" fillId="13" borderId="0" xfId="3" applyNumberFormat="1" applyFont="1" applyFill="1" applyBorder="1"/>
    <xf numFmtId="0" fontId="4" fillId="13" borderId="0" xfId="0" applyFont="1" applyFill="1" applyAlignment="1">
      <alignment horizontal="right"/>
    </xf>
    <xf numFmtId="0" fontId="1" fillId="13" borderId="0" xfId="0" applyFont="1" applyFill="1"/>
    <xf numFmtId="1" fontId="4" fillId="13" borderId="0" xfId="0" applyNumberFormat="1" applyFont="1" applyFill="1"/>
    <xf numFmtId="0" fontId="1" fillId="13" borderId="0" xfId="0" applyFont="1" applyFill="1" applyAlignment="1">
      <alignment horizontal="right"/>
    </xf>
    <xf numFmtId="165" fontId="4" fillId="13" borderId="0" xfId="0" applyNumberFormat="1" applyFont="1" applyFill="1"/>
    <xf numFmtId="181" fontId="1" fillId="0" borderId="0" xfId="0" applyNumberFormat="1" applyFont="1"/>
  </cellXfs>
  <cellStyles count="7">
    <cellStyle name="Comma" xfId="1" builtinId="3"/>
    <cellStyle name="Currency" xfId="2" builtinId="4"/>
    <cellStyle name="Currency 3" xfId="4" xr:uid="{00000000-0005-0000-0000-000002000000}"/>
    <cellStyle name="Hyperlink" xfId="6" builtinId="8"/>
    <cellStyle name="Normal" xfId="0" builtinId="0"/>
    <cellStyle name="Percent" xfId="3" builtinId="5"/>
    <cellStyle name="Percent 4" xfId="5" xr:uid="{00000000-0005-0000-0000-000005000000}"/>
  </cellStyles>
  <dxfs count="0"/>
  <tableStyles count="0" defaultTableStyle="TableStyleMedium9" defaultPivotStyle="PivotStyleLight16"/>
  <colors>
    <mruColors>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428625</xdr:colOff>
      <xdr:row>350</xdr:row>
      <xdr:rowOff>9525</xdr:rowOff>
    </xdr:from>
    <xdr:to>
      <xdr:col>23</xdr:col>
      <xdr:colOff>495300</xdr:colOff>
      <xdr:row>353</xdr:row>
      <xdr:rowOff>66675</xdr:rowOff>
    </xdr:to>
    <xdr:pic>
      <xdr:nvPicPr>
        <xdr:cNvPr id="2" name="Picture 1">
          <a:extLst>
            <a:ext uri="{FF2B5EF4-FFF2-40B4-BE49-F238E27FC236}">
              <a16:creationId xmlns:a16="http://schemas.microsoft.com/office/drawing/2014/main" id="{A807D8F3-AB73-F760-1A5E-57CFB273D0D7}"/>
            </a:ext>
          </a:extLst>
        </xdr:cNvPr>
        <xdr:cNvPicPr>
          <a:picLocks noChangeAspect="1"/>
        </xdr:cNvPicPr>
      </xdr:nvPicPr>
      <xdr:blipFill>
        <a:blip xmlns:r="http://schemas.openxmlformats.org/officeDocument/2006/relationships" r:embed="rId1"/>
        <a:stretch>
          <a:fillRect/>
        </a:stretch>
      </xdr:blipFill>
      <xdr:spPr>
        <a:xfrm>
          <a:off x="15230475" y="57045225"/>
          <a:ext cx="8505825" cy="542925"/>
        </a:xfrm>
        <a:prstGeom prst="rect">
          <a:avLst/>
        </a:prstGeom>
      </xdr:spPr>
    </xdr:pic>
    <xdr:clientData/>
  </xdr:twoCellAnchor>
  <xdr:twoCellAnchor editAs="oneCell">
    <xdr:from>
      <xdr:col>11</xdr:col>
      <xdr:colOff>28575</xdr:colOff>
      <xdr:row>347</xdr:row>
      <xdr:rowOff>9525</xdr:rowOff>
    </xdr:from>
    <xdr:to>
      <xdr:col>23</xdr:col>
      <xdr:colOff>419100</xdr:colOff>
      <xdr:row>350</xdr:row>
      <xdr:rowOff>28575</xdr:rowOff>
    </xdr:to>
    <xdr:pic>
      <xdr:nvPicPr>
        <xdr:cNvPr id="3" name="Picture 2">
          <a:extLst>
            <a:ext uri="{FF2B5EF4-FFF2-40B4-BE49-F238E27FC236}">
              <a16:creationId xmlns:a16="http://schemas.microsoft.com/office/drawing/2014/main" id="{BBC312AF-0241-22A7-A52D-D59144DC0BDD}"/>
            </a:ext>
            <a:ext uri="{147F2762-F138-4A5C-976F-8EAC2B608ADB}">
              <a16:predDERef xmlns:a16="http://schemas.microsoft.com/office/drawing/2014/main" pred="{A807D8F3-AB73-F760-1A5E-57CFB273D0D7}"/>
            </a:ext>
          </a:extLst>
        </xdr:cNvPr>
        <xdr:cNvPicPr>
          <a:picLocks noChangeAspect="1"/>
        </xdr:cNvPicPr>
      </xdr:nvPicPr>
      <xdr:blipFill>
        <a:blip xmlns:r="http://schemas.openxmlformats.org/officeDocument/2006/relationships" r:embed="rId2"/>
        <a:stretch>
          <a:fillRect/>
        </a:stretch>
      </xdr:blipFill>
      <xdr:spPr>
        <a:xfrm>
          <a:off x="15440025" y="56559450"/>
          <a:ext cx="8220075" cy="50482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hyperlink" Target="https://www.marketscreener.com/quote/stock/L-OREAL-4666/sector-finances/"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61"/>
  <sheetViews>
    <sheetView topLeftCell="A142" zoomScale="132" zoomScaleNormal="70" workbookViewId="0">
      <pane xSplit="1" topLeftCell="B1" activePane="topRight" state="frozen"/>
      <selection pane="topRight" activeCell="E126" sqref="E126"/>
    </sheetView>
  </sheetViews>
  <sheetFormatPr baseColWidth="10" defaultColWidth="9.1640625" defaultRowHeight="13" x14ac:dyDescent="0.15"/>
  <cols>
    <col min="1" max="1" width="55.6640625" style="4" customWidth="1"/>
    <col min="2" max="2" width="32.6640625" style="4" customWidth="1"/>
    <col min="3" max="3" width="19.5" style="4" customWidth="1"/>
    <col min="4" max="4" width="15.33203125" style="4" customWidth="1"/>
    <col min="5" max="6" width="14.83203125" style="4" customWidth="1"/>
    <col min="7" max="7" width="12.5" style="4" customWidth="1"/>
    <col min="8" max="8" width="7.83203125" style="4" customWidth="1"/>
    <col min="9" max="9" width="12.33203125" style="4" bestFit="1" customWidth="1"/>
    <col min="10" max="16384" width="9.1640625" style="4"/>
  </cols>
  <sheetData>
    <row r="1" spans="1:19" x14ac:dyDescent="0.15">
      <c r="A1" s="1" t="s">
        <v>0</v>
      </c>
      <c r="B1" s="2"/>
      <c r="C1" s="2"/>
      <c r="D1" s="2"/>
      <c r="E1" s="2"/>
      <c r="F1" s="2"/>
      <c r="G1" s="3"/>
      <c r="H1" s="298"/>
      <c r="I1" s="334"/>
      <c r="J1" s="335"/>
      <c r="K1" s="335"/>
      <c r="L1" s="335"/>
      <c r="M1" s="336"/>
      <c r="N1" s="337"/>
      <c r="O1" s="298"/>
      <c r="P1" s="298"/>
      <c r="Q1" s="298"/>
      <c r="R1" s="298"/>
      <c r="S1" s="298"/>
    </row>
    <row r="2" spans="1:19" x14ac:dyDescent="0.15">
      <c r="A2" s="5" t="s">
        <v>1</v>
      </c>
      <c r="B2" s="338"/>
      <c r="C2" s="338"/>
      <c r="D2" s="338"/>
      <c r="E2" s="338"/>
      <c r="F2" s="338"/>
      <c r="G2" s="339"/>
      <c r="H2" s="298"/>
      <c r="I2" s="5" t="s">
        <v>2</v>
      </c>
      <c r="J2" s="338"/>
      <c r="K2" s="338"/>
      <c r="L2" s="338"/>
      <c r="M2" s="339"/>
      <c r="N2" s="337"/>
      <c r="O2" s="298"/>
      <c r="P2" s="298"/>
      <c r="Q2" s="298"/>
      <c r="R2" s="298"/>
      <c r="S2" s="298"/>
    </row>
    <row r="3" spans="1:19" ht="14" thickBot="1" x14ac:dyDescent="0.2">
      <c r="A3" s="6" t="s">
        <v>3</v>
      </c>
      <c r="B3" s="340"/>
      <c r="C3" s="340"/>
      <c r="D3" s="340"/>
      <c r="E3" s="340"/>
      <c r="F3" s="340"/>
      <c r="G3" s="341"/>
      <c r="H3" s="298"/>
      <c r="I3" s="342"/>
      <c r="J3" s="338"/>
      <c r="K3" s="338"/>
      <c r="L3" s="338"/>
      <c r="M3" s="339"/>
      <c r="N3" s="343"/>
      <c r="O3" s="344"/>
      <c r="P3" s="298"/>
      <c r="Q3" s="298"/>
      <c r="R3" s="298"/>
      <c r="S3" s="298"/>
    </row>
    <row r="4" spans="1:19" x14ac:dyDescent="0.15">
      <c r="A4" s="315"/>
      <c r="B4" s="315"/>
      <c r="C4" s="315"/>
      <c r="D4" s="315"/>
      <c r="E4" s="315"/>
      <c r="F4" s="315"/>
      <c r="G4" s="315"/>
      <c r="H4" s="298"/>
      <c r="I4" s="15" t="s">
        <v>4</v>
      </c>
      <c r="J4" s="15"/>
      <c r="K4" s="15"/>
      <c r="L4" s="15"/>
      <c r="M4" s="15"/>
      <c r="N4" s="15"/>
      <c r="O4" s="15"/>
      <c r="P4" s="15"/>
      <c r="Q4" s="298"/>
      <c r="R4" s="298"/>
      <c r="S4" s="298"/>
    </row>
    <row r="5" spans="1:19" x14ac:dyDescent="0.15">
      <c r="A5" s="315"/>
      <c r="B5" s="315"/>
      <c r="C5" s="315"/>
      <c r="D5" s="315"/>
      <c r="E5" s="315"/>
      <c r="F5" s="315"/>
      <c r="G5" s="315"/>
      <c r="H5" s="298"/>
      <c r="I5" s="298"/>
      <c r="J5" s="298"/>
      <c r="K5" s="298"/>
      <c r="L5" s="298"/>
      <c r="M5" s="298"/>
      <c r="N5" s="298"/>
      <c r="O5" s="298"/>
      <c r="P5" s="298"/>
      <c r="Q5" s="20"/>
      <c r="R5" s="20"/>
      <c r="S5" s="20"/>
    </row>
    <row r="6" spans="1:19" x14ac:dyDescent="0.15">
      <c r="A6" s="8" t="s">
        <v>5</v>
      </c>
      <c r="B6" s="315"/>
      <c r="C6" s="315"/>
      <c r="D6" s="315"/>
      <c r="E6" s="315"/>
      <c r="F6" s="315"/>
      <c r="G6" s="315"/>
      <c r="H6" s="298"/>
      <c r="I6" s="298" t="s">
        <v>6</v>
      </c>
      <c r="J6" s="298"/>
      <c r="K6" s="298"/>
      <c r="L6" s="298"/>
      <c r="M6" s="298"/>
      <c r="N6" s="298"/>
      <c r="O6" s="298"/>
      <c r="P6" s="298"/>
      <c r="Q6" s="298"/>
      <c r="R6" s="298"/>
      <c r="S6" s="298"/>
    </row>
    <row r="7" spans="1:19" x14ac:dyDescent="0.15">
      <c r="A7" s="315"/>
      <c r="B7" s="315"/>
      <c r="C7" s="315"/>
      <c r="D7" s="315"/>
      <c r="E7" s="315"/>
      <c r="F7" s="315"/>
      <c r="G7" s="315"/>
      <c r="H7" s="298"/>
      <c r="I7" s="298" t="s">
        <v>7</v>
      </c>
      <c r="J7" s="298"/>
      <c r="K7" s="298"/>
      <c r="L7" s="298"/>
      <c r="M7" s="298"/>
      <c r="N7" s="298"/>
      <c r="O7" s="298"/>
      <c r="P7" s="298"/>
      <c r="Q7" s="298"/>
      <c r="R7" s="298"/>
      <c r="S7" s="298"/>
    </row>
    <row r="8" spans="1:19" x14ac:dyDescent="0.15">
      <c r="A8" s="345"/>
      <c r="B8" s="345"/>
      <c r="C8" s="345"/>
      <c r="D8" s="345"/>
      <c r="E8" s="345"/>
      <c r="F8" s="345"/>
      <c r="G8" s="345"/>
      <c r="H8" s="298"/>
      <c r="I8" s="298" t="s">
        <v>8</v>
      </c>
      <c r="J8" s="298"/>
      <c r="K8" s="298"/>
      <c r="L8" s="298"/>
      <c r="M8" s="298"/>
      <c r="N8" s="298"/>
      <c r="O8" s="298"/>
      <c r="P8" s="298"/>
      <c r="Q8" s="298"/>
      <c r="R8" s="298"/>
      <c r="S8" s="298"/>
    </row>
    <row r="9" spans="1:19" ht="28" x14ac:dyDescent="0.15">
      <c r="A9" s="9" t="s">
        <v>9</v>
      </c>
      <c r="B9" s="333" t="s">
        <v>10</v>
      </c>
      <c r="C9" s="11"/>
      <c r="D9" s="11"/>
      <c r="E9" s="11"/>
      <c r="F9" s="11"/>
      <c r="G9" s="12"/>
      <c r="H9" s="298"/>
      <c r="I9" s="298" t="s">
        <v>11</v>
      </c>
      <c r="J9" s="298"/>
      <c r="K9" s="298"/>
      <c r="L9" s="298"/>
      <c r="M9" s="298"/>
      <c r="N9" s="298"/>
      <c r="O9" s="298"/>
      <c r="P9" s="298"/>
      <c r="Q9" s="298"/>
      <c r="R9" s="298"/>
      <c r="S9" s="298"/>
    </row>
    <row r="10" spans="1:19" x14ac:dyDescent="0.15">
      <c r="A10" s="9" t="s">
        <v>12</v>
      </c>
      <c r="B10" s="10" t="s">
        <v>13</v>
      </c>
      <c r="C10" s="11"/>
      <c r="D10" s="11"/>
      <c r="E10" s="11"/>
      <c r="F10" s="11"/>
      <c r="G10" s="12"/>
      <c r="H10" s="298"/>
      <c r="I10" s="298" t="s">
        <v>14</v>
      </c>
      <c r="J10" s="298"/>
      <c r="K10" s="298"/>
      <c r="L10" s="298"/>
      <c r="M10" s="298"/>
      <c r="N10" s="298"/>
      <c r="O10" s="298"/>
      <c r="P10" s="298"/>
      <c r="Q10" s="298"/>
      <c r="R10" s="298"/>
      <c r="S10" s="298"/>
    </row>
    <row r="11" spans="1:19" x14ac:dyDescent="0.15">
      <c r="A11" s="9" t="s">
        <v>15</v>
      </c>
      <c r="B11" s="13">
        <v>2019</v>
      </c>
      <c r="C11" s="13">
        <v>2020</v>
      </c>
      <c r="D11" s="13">
        <v>2021</v>
      </c>
      <c r="E11" s="13">
        <v>2022</v>
      </c>
      <c r="F11" s="13">
        <v>2023</v>
      </c>
      <c r="G11" s="13">
        <v>2024</v>
      </c>
      <c r="H11" s="298"/>
      <c r="I11" s="298" t="s">
        <v>16</v>
      </c>
      <c r="J11" s="298"/>
      <c r="K11" s="298"/>
      <c r="L11" s="298"/>
      <c r="M11" s="298"/>
      <c r="N11" s="298"/>
      <c r="O11" s="298"/>
      <c r="P11" s="298"/>
      <c r="Q11" s="298"/>
      <c r="R11" s="298"/>
      <c r="S11" s="298"/>
    </row>
    <row r="12" spans="1:19" x14ac:dyDescent="0.15">
      <c r="A12" s="298"/>
      <c r="B12" s="256"/>
      <c r="C12" s="298"/>
      <c r="D12" s="298"/>
      <c r="E12" s="298"/>
      <c r="F12" s="298"/>
      <c r="G12" s="256"/>
      <c r="H12" s="298"/>
      <c r="I12" s="298"/>
      <c r="J12" s="298"/>
      <c r="K12" s="298"/>
      <c r="L12" s="298"/>
      <c r="M12" s="298"/>
      <c r="N12" s="298"/>
      <c r="O12" s="298"/>
      <c r="P12" s="298"/>
      <c r="Q12" s="298"/>
      <c r="R12" s="298"/>
      <c r="S12" s="298"/>
    </row>
    <row r="13" spans="1:19" x14ac:dyDescent="0.15">
      <c r="A13" s="14"/>
      <c r="B13" s="346"/>
      <c r="C13" s="346"/>
      <c r="D13" s="346"/>
      <c r="E13" s="346"/>
      <c r="F13" s="346"/>
      <c r="G13" s="346"/>
      <c r="H13" s="298"/>
      <c r="I13" s="298"/>
      <c r="J13" s="298"/>
      <c r="K13" s="298"/>
      <c r="L13" s="298"/>
      <c r="M13" s="298"/>
      <c r="N13" s="298"/>
      <c r="O13" s="298"/>
      <c r="P13" s="298"/>
      <c r="Q13" s="298"/>
      <c r="R13" s="298"/>
      <c r="S13" s="298"/>
    </row>
    <row r="14" spans="1:19" x14ac:dyDescent="0.15">
      <c r="A14" s="328" t="s">
        <v>17</v>
      </c>
      <c r="B14" s="330">
        <f>B11</f>
        <v>2019</v>
      </c>
      <c r="C14" s="330">
        <f t="shared" ref="C14:G14" si="0">C11</f>
        <v>2020</v>
      </c>
      <c r="D14" s="330">
        <f t="shared" si="0"/>
        <v>2021</v>
      </c>
      <c r="E14" s="330">
        <f t="shared" si="0"/>
        <v>2022</v>
      </c>
      <c r="F14" s="330">
        <f t="shared" si="0"/>
        <v>2023</v>
      </c>
      <c r="G14" s="330">
        <f t="shared" si="0"/>
        <v>2024</v>
      </c>
      <c r="H14" s="298"/>
      <c r="I14" s="14" t="s">
        <v>18</v>
      </c>
      <c r="J14" s="298"/>
      <c r="K14" s="298"/>
      <c r="L14" s="298"/>
      <c r="M14" s="298"/>
      <c r="N14" s="298"/>
      <c r="O14" s="298"/>
      <c r="P14" s="298"/>
      <c r="Q14" s="298"/>
      <c r="R14" s="298"/>
      <c r="S14" s="298"/>
    </row>
    <row r="15" spans="1:19" x14ac:dyDescent="0.15">
      <c r="A15" s="18" t="s">
        <v>19</v>
      </c>
      <c r="B15" s="346"/>
      <c r="C15" s="346"/>
      <c r="D15" s="346"/>
      <c r="E15" s="346"/>
      <c r="F15" s="346"/>
      <c r="G15" s="346"/>
      <c r="H15" s="298"/>
      <c r="I15" s="298"/>
      <c r="J15" s="298"/>
      <c r="K15" s="298"/>
      <c r="L15" s="298"/>
      <c r="M15" s="298"/>
      <c r="N15" s="298"/>
      <c r="O15" s="298"/>
      <c r="P15" s="298"/>
      <c r="Q15" s="298"/>
      <c r="R15" s="298"/>
      <c r="S15" s="298"/>
    </row>
    <row r="16" spans="1:19" x14ac:dyDescent="0.15">
      <c r="A16" s="298" t="s">
        <v>20</v>
      </c>
      <c r="B16" s="15">
        <v>5286</v>
      </c>
      <c r="C16" s="15">
        <v>6405.9</v>
      </c>
      <c r="D16" s="15">
        <v>2713.8</v>
      </c>
      <c r="E16" s="15">
        <v>2617.6999999999998</v>
      </c>
      <c r="F16" s="15">
        <v>4288.1000000000004</v>
      </c>
      <c r="G16" s="15">
        <v>4052.3</v>
      </c>
      <c r="H16" s="298"/>
      <c r="I16" s="298"/>
      <c r="J16" s="298"/>
      <c r="K16" s="298"/>
      <c r="L16" s="298"/>
      <c r="M16" s="298"/>
      <c r="N16" s="298"/>
      <c r="O16" s="298"/>
      <c r="P16" s="298"/>
      <c r="Q16" s="298"/>
      <c r="R16" s="298"/>
      <c r="S16" s="298"/>
    </row>
    <row r="17" spans="1:11" x14ac:dyDescent="0.15">
      <c r="A17" s="298" t="s">
        <v>21</v>
      </c>
      <c r="B17" s="15"/>
      <c r="C17" s="15"/>
      <c r="D17" s="15"/>
      <c r="E17" s="15"/>
      <c r="F17" s="15"/>
      <c r="G17" s="15"/>
      <c r="H17" s="298"/>
      <c r="I17" s="347"/>
      <c r="J17" s="347"/>
      <c r="K17" s="347"/>
    </row>
    <row r="18" spans="1:11" x14ac:dyDescent="0.15">
      <c r="A18" s="298" t="s">
        <v>22</v>
      </c>
      <c r="B18" s="15">
        <v>4086.7</v>
      </c>
      <c r="C18" s="15">
        <v>3511.3</v>
      </c>
      <c r="D18" s="15">
        <v>4021</v>
      </c>
      <c r="E18" s="15">
        <v>4755.5</v>
      </c>
      <c r="F18" s="15">
        <v>5092.7</v>
      </c>
      <c r="G18" s="15">
        <v>5601.8</v>
      </c>
      <c r="H18" s="298"/>
      <c r="I18" s="348"/>
      <c r="J18" s="348"/>
      <c r="K18" s="348"/>
    </row>
    <row r="19" spans="1:11" x14ac:dyDescent="0.15">
      <c r="A19" s="298" t="s">
        <v>23</v>
      </c>
      <c r="B19" s="15">
        <v>2920.8</v>
      </c>
      <c r="C19" s="15">
        <v>2675.8</v>
      </c>
      <c r="D19" s="15">
        <v>3166.9</v>
      </c>
      <c r="E19" s="15">
        <v>4079</v>
      </c>
      <c r="F19" s="15">
        <v>4482.3999999999996</v>
      </c>
      <c r="G19" s="15">
        <v>4630.1000000000004</v>
      </c>
      <c r="H19" s="298"/>
      <c r="I19" s="298"/>
      <c r="J19" s="298"/>
      <c r="K19" s="298"/>
    </row>
    <row r="20" spans="1:11" x14ac:dyDescent="0.15">
      <c r="A20" s="298" t="s">
        <v>24</v>
      </c>
      <c r="B20" s="15">
        <v>1474.9</v>
      </c>
      <c r="C20" s="15">
        <v>1732.7</v>
      </c>
      <c r="D20" s="15">
        <v>2037.9</v>
      </c>
      <c r="E20" s="15">
        <v>2423.1999999999998</v>
      </c>
      <c r="F20" s="15">
        <v>2270.6</v>
      </c>
      <c r="G20" s="15">
        <v>1955.3</v>
      </c>
      <c r="H20" s="298"/>
      <c r="I20" s="298"/>
      <c r="J20" s="298"/>
      <c r="K20" s="298"/>
    </row>
    <row r="21" spans="1:11" x14ac:dyDescent="0.15">
      <c r="A21" s="298" t="s">
        <v>25</v>
      </c>
      <c r="B21" s="16">
        <v>148.1</v>
      </c>
      <c r="C21" s="16">
        <v>234.4</v>
      </c>
      <c r="D21" s="16">
        <v>136.19999999999999</v>
      </c>
      <c r="E21" s="16">
        <v>173.9</v>
      </c>
      <c r="F21" s="16">
        <v>191.6</v>
      </c>
      <c r="G21" s="16">
        <v>234.1</v>
      </c>
      <c r="H21" s="298"/>
      <c r="I21" s="298" t="s">
        <v>26</v>
      </c>
      <c r="J21" s="298"/>
      <c r="K21" s="298"/>
    </row>
    <row r="22" spans="1:11" x14ac:dyDescent="0.15">
      <c r="A22" s="298" t="s">
        <v>27</v>
      </c>
      <c r="B22" s="17"/>
      <c r="C22" s="17"/>
      <c r="D22" s="17"/>
      <c r="E22" s="17"/>
      <c r="F22" s="17"/>
      <c r="G22" s="17"/>
      <c r="H22" s="298"/>
      <c r="I22" s="298"/>
      <c r="J22" s="298"/>
      <c r="K22" s="298"/>
    </row>
    <row r="23" spans="1:11" x14ac:dyDescent="0.15">
      <c r="A23" s="18" t="s">
        <v>28</v>
      </c>
      <c r="B23" s="19">
        <f t="shared" ref="B23:G23" si="1">SUM(B16:B22)</f>
        <v>13916.5</v>
      </c>
      <c r="C23" s="19">
        <f t="shared" si="1"/>
        <v>14560.1</v>
      </c>
      <c r="D23" s="19">
        <f t="shared" si="1"/>
        <v>12075.800000000001</v>
      </c>
      <c r="E23" s="19">
        <f t="shared" si="1"/>
        <v>14049.300000000001</v>
      </c>
      <c r="F23" s="19">
        <f t="shared" si="1"/>
        <v>16325.4</v>
      </c>
      <c r="G23" s="19">
        <f t="shared" si="1"/>
        <v>16473.599999999999</v>
      </c>
      <c r="H23" s="298"/>
      <c r="I23" s="298" t="s">
        <v>29</v>
      </c>
      <c r="J23" s="298"/>
      <c r="K23" s="298"/>
    </row>
    <row r="24" spans="1:11" x14ac:dyDescent="0.15">
      <c r="A24" s="298" t="s">
        <v>30</v>
      </c>
      <c r="B24" s="320">
        <v>10.9</v>
      </c>
      <c r="C24" s="320">
        <v>11.1</v>
      </c>
      <c r="D24" s="320">
        <v>9.9</v>
      </c>
      <c r="E24" s="320">
        <v>18.399999999999999</v>
      </c>
      <c r="F24" s="320">
        <v>27</v>
      </c>
      <c r="G24" s="320">
        <v>126.4</v>
      </c>
      <c r="H24" s="298"/>
      <c r="I24" s="298"/>
      <c r="J24" s="298"/>
      <c r="K24" s="298"/>
    </row>
    <row r="25" spans="1:11" x14ac:dyDescent="0.15">
      <c r="A25" s="298" t="s">
        <v>31</v>
      </c>
      <c r="B25" s="319">
        <v>3644.3</v>
      </c>
      <c r="C25" s="319">
        <v>3225.2</v>
      </c>
      <c r="D25" s="319">
        <v>3266.2</v>
      </c>
      <c r="E25" s="319">
        <v>3481.7</v>
      </c>
      <c r="F25" s="319">
        <v>3867.7</v>
      </c>
      <c r="G25" s="319">
        <v>4202</v>
      </c>
      <c r="H25" s="298"/>
      <c r="I25" s="298"/>
      <c r="J25" s="298"/>
      <c r="K25" s="298"/>
    </row>
    <row r="26" spans="1:11" x14ac:dyDescent="0.15">
      <c r="A26" s="298" t="s">
        <v>32</v>
      </c>
      <c r="B26" s="15"/>
      <c r="C26" s="15"/>
      <c r="D26" s="15"/>
      <c r="E26" s="15"/>
      <c r="F26" s="15"/>
      <c r="G26" s="15"/>
      <c r="H26" s="298"/>
      <c r="I26" s="298"/>
      <c r="J26" s="298"/>
      <c r="K26" s="298"/>
    </row>
    <row r="27" spans="1:11" x14ac:dyDescent="0.15">
      <c r="A27" s="298" t="s">
        <v>33</v>
      </c>
      <c r="B27" s="319">
        <v>1892.3</v>
      </c>
      <c r="C27" s="319">
        <v>1525.3</v>
      </c>
      <c r="D27" s="319">
        <v>1507.6</v>
      </c>
      <c r="E27" s="319">
        <v>1482.7</v>
      </c>
      <c r="F27" s="319">
        <v>1692.4</v>
      </c>
      <c r="G27" s="319">
        <v>1763.2</v>
      </c>
      <c r="H27" s="298"/>
      <c r="I27" s="298"/>
      <c r="J27" s="298"/>
      <c r="K27" s="298"/>
    </row>
    <row r="28" spans="1:11" x14ac:dyDescent="0.15">
      <c r="A28" s="298" t="s">
        <v>34</v>
      </c>
      <c r="B28" s="15"/>
      <c r="C28" s="15"/>
      <c r="D28" s="15"/>
      <c r="E28" s="15"/>
      <c r="F28" s="15"/>
      <c r="G28" s="15"/>
      <c r="H28" s="298"/>
      <c r="I28" s="298"/>
      <c r="J28" s="298"/>
      <c r="K28" s="298"/>
    </row>
    <row r="29" spans="1:11" x14ac:dyDescent="0.15">
      <c r="A29" s="298" t="s">
        <v>35</v>
      </c>
      <c r="B29" s="319">
        <v>9585.6</v>
      </c>
      <c r="C29" s="319">
        <v>10514.2</v>
      </c>
      <c r="D29" s="319">
        <v>11074.5</v>
      </c>
      <c r="E29" s="319">
        <v>11717.7</v>
      </c>
      <c r="F29" s="319">
        <v>13102.6</v>
      </c>
      <c r="G29" s="319">
        <v>13382</v>
      </c>
      <c r="H29" s="298"/>
      <c r="I29" s="298"/>
      <c r="J29" s="298"/>
      <c r="K29" s="298"/>
    </row>
    <row r="30" spans="1:11" x14ac:dyDescent="0.15">
      <c r="A30" s="298" t="s">
        <v>36</v>
      </c>
      <c r="B30" s="319">
        <v>3163.8</v>
      </c>
      <c r="C30" s="319">
        <v>3356.4</v>
      </c>
      <c r="D30" s="319">
        <v>3462.8</v>
      </c>
      <c r="E30" s="319">
        <v>3640.1</v>
      </c>
      <c r="F30" s="319">
        <v>4287.1000000000004</v>
      </c>
      <c r="G30" s="319">
        <v>4594.8</v>
      </c>
      <c r="H30" s="298"/>
      <c r="I30" s="298"/>
      <c r="J30" s="298"/>
      <c r="K30" s="298"/>
    </row>
    <row r="31" spans="1:11" x14ac:dyDescent="0.15">
      <c r="A31" s="298" t="s">
        <v>37</v>
      </c>
      <c r="B31" s="319">
        <v>777.3</v>
      </c>
      <c r="C31" s="319">
        <v>809.9</v>
      </c>
      <c r="D31" s="319">
        <v>696.5</v>
      </c>
      <c r="E31" s="319">
        <v>801.1</v>
      </c>
      <c r="F31" s="319">
        <v>921.2</v>
      </c>
      <c r="G31" s="319">
        <v>973.3</v>
      </c>
      <c r="H31" s="298"/>
      <c r="I31" s="298" t="s">
        <v>38</v>
      </c>
      <c r="J31" s="298"/>
      <c r="K31" s="298"/>
    </row>
    <row r="32" spans="1:11" x14ac:dyDescent="0.15">
      <c r="A32" s="298" t="s">
        <v>39</v>
      </c>
      <c r="B32" s="321">
        <v>10819.1</v>
      </c>
      <c r="C32" s="321">
        <v>9604.7999999999993</v>
      </c>
      <c r="D32" s="319">
        <v>10920.2</v>
      </c>
      <c r="E32" s="319">
        <v>11652.8</v>
      </c>
      <c r="F32" s="319">
        <v>11631.6</v>
      </c>
      <c r="G32" s="319">
        <v>14838.1</v>
      </c>
      <c r="H32" s="298"/>
      <c r="I32" s="298"/>
      <c r="J32" s="298"/>
      <c r="K32" s="298"/>
    </row>
    <row r="33" spans="1:17" x14ac:dyDescent="0.15">
      <c r="A33" s="18" t="s">
        <v>40</v>
      </c>
      <c r="B33" s="19">
        <f t="shared" ref="B33:G33" si="2">SUM(B23:B32)</f>
        <v>43809.799999999996</v>
      </c>
      <c r="C33" s="19">
        <f t="shared" si="2"/>
        <v>43607</v>
      </c>
      <c r="D33" s="19">
        <f t="shared" si="2"/>
        <v>43013.5</v>
      </c>
      <c r="E33" s="19">
        <f t="shared" si="2"/>
        <v>46843.8</v>
      </c>
      <c r="F33" s="19">
        <f t="shared" si="2"/>
        <v>51854.999999999993</v>
      </c>
      <c r="G33" s="19">
        <f t="shared" si="2"/>
        <v>56353.4</v>
      </c>
      <c r="H33" s="298"/>
      <c r="I33" s="298" t="s">
        <v>41</v>
      </c>
      <c r="J33" s="298"/>
      <c r="K33" s="298"/>
      <c r="L33" s="298"/>
      <c r="M33" s="298"/>
      <c r="N33" s="298"/>
      <c r="O33" s="298"/>
      <c r="P33" s="298"/>
      <c r="Q33" s="298"/>
    </row>
    <row r="34" spans="1:17" s="40" customFormat="1" x14ac:dyDescent="0.15">
      <c r="A34" s="14"/>
      <c r="B34" s="349"/>
      <c r="C34" s="349"/>
      <c r="D34" s="349"/>
      <c r="E34" s="349"/>
      <c r="F34" s="349"/>
      <c r="G34" s="349"/>
      <c r="H34" s="349"/>
      <c r="I34" s="349"/>
      <c r="J34" s="349"/>
      <c r="K34" s="349"/>
      <c r="L34" s="349"/>
      <c r="M34" s="349"/>
      <c r="N34" s="349"/>
      <c r="O34" s="349"/>
      <c r="P34" s="349"/>
      <c r="Q34" s="349"/>
    </row>
    <row r="35" spans="1:17" s="40" customFormat="1" x14ac:dyDescent="0.15">
      <c r="A35" s="18" t="s">
        <v>42</v>
      </c>
      <c r="B35" s="349"/>
      <c r="C35" s="349"/>
      <c r="D35" s="349"/>
      <c r="E35" s="349"/>
      <c r="F35" s="349"/>
      <c r="G35" s="349"/>
      <c r="H35" s="349"/>
      <c r="I35" s="349"/>
      <c r="J35" s="349"/>
      <c r="K35" s="349"/>
      <c r="L35" s="349"/>
      <c r="M35" s="349"/>
      <c r="N35" s="349"/>
      <c r="O35" s="349"/>
      <c r="P35" s="349"/>
      <c r="Q35" s="349"/>
    </row>
    <row r="36" spans="1:17" x14ac:dyDescent="0.15">
      <c r="A36" s="496" t="s">
        <v>43</v>
      </c>
      <c r="B36" s="319">
        <v>4658.3999999999996</v>
      </c>
      <c r="C36" s="319">
        <v>4764.5</v>
      </c>
      <c r="D36" s="319">
        <v>6068.1</v>
      </c>
      <c r="E36" s="319">
        <v>6345.6</v>
      </c>
      <c r="F36" s="319">
        <v>6347</v>
      </c>
      <c r="G36" s="319">
        <v>6468.5</v>
      </c>
      <c r="H36" s="298"/>
      <c r="I36" s="298"/>
      <c r="J36" s="298"/>
      <c r="K36" s="298"/>
      <c r="L36" s="298"/>
      <c r="M36" s="298"/>
      <c r="N36" s="298"/>
      <c r="O36" s="298"/>
      <c r="P36" s="298"/>
      <c r="Q36" s="298"/>
    </row>
    <row r="37" spans="1:17" x14ac:dyDescent="0.15">
      <c r="A37" s="496" t="s">
        <v>44</v>
      </c>
      <c r="B37" s="15"/>
      <c r="C37" s="15"/>
      <c r="D37" s="15"/>
      <c r="E37" s="15"/>
      <c r="F37" s="15"/>
      <c r="G37" s="15"/>
      <c r="H37" s="298"/>
      <c r="I37" s="298"/>
      <c r="J37" s="298"/>
      <c r="K37" s="298"/>
      <c r="L37" s="298"/>
      <c r="M37" s="348"/>
      <c r="N37" s="348"/>
      <c r="O37" s="348"/>
      <c r="P37" s="348"/>
      <c r="Q37" s="348"/>
    </row>
    <row r="38" spans="1:17" x14ac:dyDescent="0.15">
      <c r="A38" s="496" t="s">
        <v>45</v>
      </c>
      <c r="B38" s="15"/>
      <c r="C38" s="15"/>
      <c r="D38" s="15"/>
      <c r="E38" s="15"/>
      <c r="F38" s="15"/>
      <c r="G38" s="15"/>
      <c r="H38" s="298"/>
      <c r="I38" s="350"/>
      <c r="J38" s="350"/>
      <c r="K38" s="350"/>
      <c r="L38" s="350"/>
      <c r="M38" s="350"/>
      <c r="N38" s="350"/>
      <c r="O38" s="298"/>
      <c r="P38" s="298"/>
      <c r="Q38" s="298"/>
    </row>
    <row r="39" spans="1:17" ht="28" x14ac:dyDescent="0.15">
      <c r="A39" s="497" t="s">
        <v>46</v>
      </c>
      <c r="B39" s="319">
        <v>841.2</v>
      </c>
      <c r="C39" s="319">
        <v>856.4</v>
      </c>
      <c r="D39" s="319">
        <v>4619.3999999999996</v>
      </c>
      <c r="E39" s="319">
        <v>1012.8</v>
      </c>
      <c r="F39" s="322">
        <v>2091.5</v>
      </c>
      <c r="G39" s="322">
        <v>1381.1</v>
      </c>
      <c r="H39" s="298"/>
      <c r="I39" s="298"/>
      <c r="J39" s="298"/>
      <c r="K39" s="298"/>
      <c r="L39" s="298"/>
      <c r="M39" s="350"/>
      <c r="N39" s="350"/>
      <c r="O39" s="350"/>
      <c r="P39" s="350"/>
      <c r="Q39" s="350"/>
    </row>
    <row r="40" spans="1:17" x14ac:dyDescent="0.15">
      <c r="A40" s="496" t="s">
        <v>47</v>
      </c>
      <c r="B40" s="319">
        <v>407.9</v>
      </c>
      <c r="C40" s="319">
        <v>386.9</v>
      </c>
      <c r="D40" s="319">
        <v>422.8</v>
      </c>
      <c r="E40" s="319">
        <v>407</v>
      </c>
      <c r="F40" s="319">
        <v>459.8</v>
      </c>
      <c r="G40" s="319">
        <v>468.6</v>
      </c>
      <c r="H40" s="298"/>
      <c r="I40" s="298"/>
      <c r="J40" s="298"/>
      <c r="K40" s="298"/>
      <c r="L40" s="298"/>
      <c r="M40" s="298"/>
      <c r="N40" s="298"/>
      <c r="O40" s="298"/>
      <c r="P40" s="298"/>
      <c r="Q40" s="298"/>
    </row>
    <row r="41" spans="1:17" x14ac:dyDescent="0.15">
      <c r="A41" s="496" t="s">
        <v>48</v>
      </c>
      <c r="B41" s="323">
        <f>1117.8+56.9</f>
        <v>1174.7</v>
      </c>
      <c r="C41" s="323">
        <f>1224.7+56.8</f>
        <v>1281.5</v>
      </c>
      <c r="D41" s="323">
        <f>1223.3+63.8</f>
        <v>1287.0999999999999</v>
      </c>
      <c r="E41" s="323">
        <v>1205.5999999999999</v>
      </c>
      <c r="F41" s="323">
        <f>977.2</f>
        <v>977.2</v>
      </c>
      <c r="G41" s="323">
        <v>1093.0999999999999</v>
      </c>
      <c r="H41" s="298"/>
      <c r="I41" s="298"/>
      <c r="J41" s="298"/>
      <c r="K41" s="298"/>
      <c r="L41" s="298"/>
      <c r="M41" s="298"/>
      <c r="N41" s="298"/>
      <c r="O41" s="298"/>
      <c r="P41" s="298"/>
      <c r="Q41" s="298"/>
    </row>
    <row r="42" spans="1:17" x14ac:dyDescent="0.15">
      <c r="A42" s="496" t="s">
        <v>49</v>
      </c>
      <c r="B42" s="323">
        <v>334.8</v>
      </c>
      <c r="C42" s="323">
        <v>215.1</v>
      </c>
      <c r="D42" s="323">
        <v>268.89999999999998</v>
      </c>
      <c r="E42" s="323">
        <v>264.2</v>
      </c>
      <c r="F42" s="323">
        <v>208.1</v>
      </c>
      <c r="G42" s="323">
        <v>275.10000000000002</v>
      </c>
      <c r="H42" s="298"/>
      <c r="I42" s="298" t="s">
        <v>50</v>
      </c>
      <c r="J42" s="298"/>
      <c r="K42" s="298"/>
      <c r="L42" s="298"/>
      <c r="M42" s="298"/>
      <c r="N42" s="298"/>
      <c r="O42" s="298"/>
      <c r="P42" s="298"/>
      <c r="Q42" s="298"/>
    </row>
    <row r="43" spans="1:17" x14ac:dyDescent="0.15">
      <c r="A43" s="496" t="s">
        <v>51</v>
      </c>
      <c r="B43" s="324">
        <v>3508.5</v>
      </c>
      <c r="C43" s="324">
        <v>3682.5</v>
      </c>
      <c r="D43" s="324">
        <v>3980.8</v>
      </c>
      <c r="E43" s="324">
        <v>4484.6000000000004</v>
      </c>
      <c r="F43" s="324">
        <v>4816.1000000000004</v>
      </c>
      <c r="G43" s="324">
        <v>4949.6000000000004</v>
      </c>
      <c r="H43" s="298"/>
      <c r="I43" s="298"/>
      <c r="J43" s="298"/>
      <c r="K43" s="298"/>
      <c r="L43" s="298"/>
      <c r="M43" s="298"/>
      <c r="N43" s="298"/>
      <c r="O43" s="298"/>
      <c r="P43" s="298"/>
      <c r="Q43" s="298"/>
    </row>
    <row r="44" spans="1:17" x14ac:dyDescent="0.15">
      <c r="A44" s="18" t="s">
        <v>52</v>
      </c>
      <c r="B44" s="19">
        <f t="shared" ref="B44:G44" si="3">SUM(B36:B43)</f>
        <v>10925.5</v>
      </c>
      <c r="C44" s="19">
        <f t="shared" si="3"/>
        <v>11186.9</v>
      </c>
      <c r="D44" s="19">
        <f t="shared" si="3"/>
        <v>16647.099999999999</v>
      </c>
      <c r="E44" s="19">
        <f t="shared" si="3"/>
        <v>13719.800000000001</v>
      </c>
      <c r="F44" s="19">
        <f t="shared" si="3"/>
        <v>14899.7</v>
      </c>
      <c r="G44" s="19">
        <f t="shared" si="3"/>
        <v>14636.000000000002</v>
      </c>
      <c r="H44" s="298"/>
      <c r="I44" s="298" t="s">
        <v>53</v>
      </c>
      <c r="J44" s="298"/>
      <c r="K44" s="298"/>
      <c r="L44" s="298"/>
      <c r="M44" s="298"/>
      <c r="N44" s="298"/>
      <c r="O44" s="298"/>
      <c r="P44" s="298"/>
      <c r="Q44" s="298"/>
    </row>
    <row r="45" spans="1:17" x14ac:dyDescent="0.15">
      <c r="A45" s="496" t="s">
        <v>54</v>
      </c>
      <c r="B45" s="319">
        <v>9.6</v>
      </c>
      <c r="C45" s="319">
        <v>8.5</v>
      </c>
      <c r="D45" s="319">
        <v>10.7</v>
      </c>
      <c r="E45" s="319">
        <v>3017.6</v>
      </c>
      <c r="F45" s="319">
        <v>4746.7</v>
      </c>
      <c r="G45" s="319">
        <v>5187.1000000000004</v>
      </c>
      <c r="H45" s="298"/>
      <c r="I45" s="298"/>
      <c r="J45" s="298"/>
      <c r="K45" s="298"/>
      <c r="L45" s="298"/>
      <c r="M45" s="298"/>
      <c r="N45" s="298"/>
      <c r="O45" s="298"/>
      <c r="P45" s="298"/>
      <c r="Q45" s="298"/>
    </row>
    <row r="46" spans="1:17" x14ac:dyDescent="0.15">
      <c r="A46" s="496" t="s">
        <v>55</v>
      </c>
      <c r="B46" s="319">
        <v>1628</v>
      </c>
      <c r="C46" s="319">
        <v>1294.7</v>
      </c>
      <c r="D46" s="319">
        <v>1247.5</v>
      </c>
      <c r="E46" s="319">
        <v>1213.5</v>
      </c>
      <c r="F46" s="319">
        <v>1394.2</v>
      </c>
      <c r="G46" s="319">
        <v>1458</v>
      </c>
      <c r="H46" s="298"/>
      <c r="I46" s="298"/>
      <c r="J46" s="298"/>
      <c r="K46" s="298"/>
      <c r="L46" s="298"/>
      <c r="M46" s="298"/>
      <c r="N46" s="298"/>
      <c r="O46" s="298"/>
      <c r="P46" s="298"/>
      <c r="Q46" s="298"/>
    </row>
    <row r="47" spans="1:17" x14ac:dyDescent="0.15">
      <c r="A47" s="496" t="s">
        <v>56</v>
      </c>
      <c r="B47" s="319">
        <v>772.9</v>
      </c>
      <c r="C47" s="319">
        <v>1013.5</v>
      </c>
      <c r="D47" s="319">
        <v>360.6</v>
      </c>
      <c r="E47" s="319">
        <v>525.6</v>
      </c>
      <c r="F47" s="319">
        <f>562+68.8</f>
        <v>630.79999999999995</v>
      </c>
      <c r="G47" s="319">
        <v>745.7</v>
      </c>
      <c r="H47" s="298"/>
      <c r="I47" s="298"/>
      <c r="J47" s="298"/>
      <c r="K47" s="298"/>
      <c r="L47" s="298"/>
      <c r="M47" s="298"/>
      <c r="N47" s="298"/>
      <c r="O47" s="298"/>
      <c r="P47" s="298"/>
      <c r="Q47" s="298"/>
    </row>
    <row r="48" spans="1:17" x14ac:dyDescent="0.15">
      <c r="A48" s="496" t="s">
        <v>57</v>
      </c>
      <c r="B48" s="319">
        <v>737.7</v>
      </c>
      <c r="C48" s="319">
        <v>706.6</v>
      </c>
      <c r="D48" s="319">
        <v>810.3</v>
      </c>
      <c r="E48" s="319">
        <v>905.6</v>
      </c>
      <c r="F48" s="319">
        <v>846.6</v>
      </c>
      <c r="G48" s="319">
        <v>964.5</v>
      </c>
      <c r="H48" s="298"/>
      <c r="I48" s="298" t="s">
        <v>58</v>
      </c>
      <c r="J48" s="298"/>
      <c r="K48" s="298"/>
      <c r="L48" s="298"/>
      <c r="M48" s="298"/>
      <c r="N48" s="298"/>
      <c r="O48" s="298"/>
      <c r="P48" s="298"/>
      <c r="Q48" s="298"/>
    </row>
    <row r="49" spans="1:12" x14ac:dyDescent="0.15">
      <c r="A49" s="496" t="s">
        <v>59</v>
      </c>
      <c r="B49" s="319">
        <v>310.2</v>
      </c>
      <c r="C49" s="319">
        <v>397.9</v>
      </c>
      <c r="D49" s="319">
        <v>344.8</v>
      </c>
      <c r="E49" s="319">
        <v>275.60000000000002</v>
      </c>
      <c r="F49" s="319">
        <v>255.7</v>
      </c>
      <c r="G49" s="319">
        <v>224.3</v>
      </c>
      <c r="H49" s="298"/>
      <c r="I49" s="298"/>
      <c r="J49" s="298"/>
      <c r="K49" s="298"/>
      <c r="L49" s="298"/>
    </row>
    <row r="50" spans="1:12" x14ac:dyDescent="0.15">
      <c r="A50" s="18" t="s">
        <v>60</v>
      </c>
      <c r="B50" s="19">
        <f t="shared" ref="B50:G50" si="4">SUM(B44:B49)</f>
        <v>14383.900000000001</v>
      </c>
      <c r="C50" s="19">
        <f t="shared" si="4"/>
        <v>14608.1</v>
      </c>
      <c r="D50" s="19">
        <f t="shared" si="4"/>
        <v>19420.999999999996</v>
      </c>
      <c r="E50" s="19">
        <f t="shared" si="4"/>
        <v>19657.699999999997</v>
      </c>
      <c r="F50" s="19">
        <f t="shared" si="4"/>
        <v>22773.7</v>
      </c>
      <c r="G50" s="19">
        <f t="shared" si="4"/>
        <v>23215.600000000002</v>
      </c>
      <c r="H50" s="298"/>
      <c r="I50" s="298" t="s">
        <v>61</v>
      </c>
      <c r="J50" s="298"/>
      <c r="K50" s="298"/>
      <c r="L50" s="298"/>
    </row>
    <row r="51" spans="1:12" x14ac:dyDescent="0.15">
      <c r="A51" s="298"/>
      <c r="B51" s="257"/>
      <c r="C51" s="257"/>
      <c r="D51" s="257"/>
      <c r="E51" s="257"/>
      <c r="F51" s="257"/>
      <c r="G51" s="257"/>
      <c r="H51" s="298"/>
      <c r="I51" s="298"/>
      <c r="J51" s="298"/>
      <c r="K51" s="298"/>
      <c r="L51" s="298"/>
    </row>
    <row r="52" spans="1:12" x14ac:dyDescent="0.15">
      <c r="A52" s="298" t="s">
        <v>62</v>
      </c>
      <c r="B52" s="15"/>
      <c r="C52" s="15"/>
      <c r="D52" s="320">
        <v>-8940.2000000000007</v>
      </c>
      <c r="E52" s="15"/>
      <c r="F52" s="15"/>
      <c r="G52" s="15"/>
      <c r="H52" s="298"/>
      <c r="I52" s="298"/>
      <c r="J52" s="298"/>
      <c r="K52" s="298"/>
      <c r="L52" s="298"/>
    </row>
    <row r="53" spans="1:12" x14ac:dyDescent="0.15">
      <c r="A53" s="298" t="s">
        <v>63</v>
      </c>
      <c r="B53" s="319">
        <f>3130.2+111.6</f>
        <v>3241.7999999999997</v>
      </c>
      <c r="C53" s="319">
        <f>3259.8+112</f>
        <v>3371.8</v>
      </c>
      <c r="D53" s="322">
        <f>3265.6+111.5</f>
        <v>3377.1</v>
      </c>
      <c r="E53" s="319">
        <f>3368.7+107</f>
        <v>3475.7</v>
      </c>
      <c r="F53" s="319">
        <f>3370.2+106.9</f>
        <v>3477.1</v>
      </c>
      <c r="G53" s="319">
        <f>3444.3+106.9</f>
        <v>3551.2000000000003</v>
      </c>
      <c r="H53" s="298"/>
      <c r="I53" s="298"/>
      <c r="J53" s="298"/>
      <c r="K53" s="298"/>
      <c r="L53" s="298"/>
    </row>
    <row r="54" spans="1:12" x14ac:dyDescent="0.15">
      <c r="A54" s="298" t="s">
        <v>64</v>
      </c>
      <c r="B54" s="319">
        <v>3750</v>
      </c>
      <c r="C54" s="319">
        <v>3563.4</v>
      </c>
      <c r="D54" s="320">
        <v>4597.1000000000004</v>
      </c>
      <c r="E54" s="319">
        <v>5706.6</v>
      </c>
      <c r="F54" s="319">
        <v>6184</v>
      </c>
      <c r="G54" s="319">
        <v>6408.7</v>
      </c>
      <c r="H54" s="298"/>
      <c r="I54" s="298"/>
      <c r="J54" s="298"/>
      <c r="K54" s="298"/>
      <c r="L54" s="298"/>
    </row>
    <row r="55" spans="1:12" x14ac:dyDescent="0.15">
      <c r="A55" s="298" t="s">
        <v>65</v>
      </c>
      <c r="B55" s="319">
        <f>5595.8+(-99.2)</f>
        <v>5496.6</v>
      </c>
      <c r="C55" s="319">
        <f>4304.5+(-889.2)</f>
        <v>3415.3</v>
      </c>
      <c r="D55" s="319">
        <v>5738.6</v>
      </c>
      <c r="E55" s="319">
        <f>6404.4+(-83.8)</f>
        <v>6320.5999999999995</v>
      </c>
      <c r="F55" s="319">
        <f>6123.8+(-509.6)</f>
        <v>5614.2</v>
      </c>
      <c r="G55" s="319">
        <f>7277.8+ (-249.2)</f>
        <v>7028.6</v>
      </c>
      <c r="H55" s="298"/>
      <c r="I55" s="298" t="s">
        <v>66</v>
      </c>
      <c r="J55" s="298"/>
      <c r="K55" s="298"/>
      <c r="L55" s="298"/>
    </row>
    <row r="56" spans="1:12" x14ac:dyDescent="0.15">
      <c r="A56" s="298" t="s">
        <v>67</v>
      </c>
      <c r="B56" s="319">
        <v>16930.900000000001</v>
      </c>
      <c r="C56" s="319">
        <v>18642.5</v>
      </c>
      <c r="D56" s="320">
        <f>19092.2-279.1</f>
        <v>18813.100000000002</v>
      </c>
      <c r="E56" s="320">
        <v>11675.6</v>
      </c>
      <c r="F56" s="320">
        <v>13799.1</v>
      </c>
      <c r="G56" s="320">
        <v>16144.8</v>
      </c>
      <c r="H56" s="298"/>
      <c r="I56" s="298" t="s">
        <v>68</v>
      </c>
      <c r="J56" s="298"/>
      <c r="K56" s="298"/>
      <c r="L56" s="298"/>
    </row>
    <row r="57" spans="1:12" x14ac:dyDescent="0.15">
      <c r="A57" s="18" t="s">
        <v>69</v>
      </c>
      <c r="B57" s="19">
        <f t="shared" ref="B57:G57" si="5">SUM(B53:B56)</f>
        <v>29419.300000000003</v>
      </c>
      <c r="C57" s="19">
        <f t="shared" si="5"/>
        <v>28993</v>
      </c>
      <c r="D57" s="19">
        <f t="shared" si="5"/>
        <v>32525.9</v>
      </c>
      <c r="E57" s="19">
        <f t="shared" si="5"/>
        <v>27178.5</v>
      </c>
      <c r="F57" s="19">
        <f t="shared" si="5"/>
        <v>29074.400000000001</v>
      </c>
      <c r="G57" s="19">
        <f t="shared" si="5"/>
        <v>33133.300000000003</v>
      </c>
      <c r="H57" s="298"/>
      <c r="I57" s="298" t="s">
        <v>70</v>
      </c>
      <c r="J57" s="298"/>
      <c r="K57" s="298"/>
      <c r="L57" s="298"/>
    </row>
    <row r="58" spans="1:12" x14ac:dyDescent="0.15">
      <c r="A58" s="298" t="s">
        <v>71</v>
      </c>
      <c r="B58" s="319">
        <v>6.7</v>
      </c>
      <c r="C58" s="319">
        <v>5.8</v>
      </c>
      <c r="D58" s="319">
        <v>6.9</v>
      </c>
      <c r="E58" s="319">
        <v>8</v>
      </c>
      <c r="F58" s="319">
        <v>7.3</v>
      </c>
      <c r="G58" s="319">
        <v>4.5</v>
      </c>
      <c r="H58" s="298"/>
      <c r="I58" s="298"/>
      <c r="J58" s="298"/>
      <c r="K58" s="298"/>
      <c r="L58" s="298"/>
    </row>
    <row r="59" spans="1:12" x14ac:dyDescent="0.15">
      <c r="A59" s="18" t="s">
        <v>72</v>
      </c>
      <c r="B59" s="19">
        <f t="shared" ref="B59:G59" si="6">B52+B57+B58</f>
        <v>29426.000000000004</v>
      </c>
      <c r="C59" s="19">
        <f t="shared" si="6"/>
        <v>28998.799999999999</v>
      </c>
      <c r="D59" s="19">
        <f t="shared" si="6"/>
        <v>23592.600000000002</v>
      </c>
      <c r="E59" s="19">
        <f t="shared" si="6"/>
        <v>27186.5</v>
      </c>
      <c r="F59" s="19">
        <f t="shared" si="6"/>
        <v>29081.7</v>
      </c>
      <c r="G59" s="19">
        <f t="shared" si="6"/>
        <v>33137.800000000003</v>
      </c>
      <c r="H59" s="298"/>
      <c r="I59" s="298"/>
      <c r="J59" s="298"/>
      <c r="K59" s="298"/>
      <c r="L59" s="298"/>
    </row>
    <row r="60" spans="1:12" x14ac:dyDescent="0.15">
      <c r="A60" s="18" t="s">
        <v>73</v>
      </c>
      <c r="B60" s="19">
        <f t="shared" ref="B60:G60" si="7">B50+B59</f>
        <v>43809.900000000009</v>
      </c>
      <c r="C60" s="19">
        <f t="shared" si="7"/>
        <v>43606.9</v>
      </c>
      <c r="D60" s="19">
        <f t="shared" si="7"/>
        <v>43013.599999999999</v>
      </c>
      <c r="E60" s="19">
        <f t="shared" si="7"/>
        <v>46844.2</v>
      </c>
      <c r="F60" s="19">
        <f t="shared" si="7"/>
        <v>51855.4</v>
      </c>
      <c r="G60" s="19">
        <f t="shared" si="7"/>
        <v>56353.400000000009</v>
      </c>
      <c r="H60" s="298"/>
      <c r="I60" s="298" t="s">
        <v>74</v>
      </c>
      <c r="J60" s="298"/>
      <c r="K60" s="298"/>
      <c r="L60" s="298"/>
    </row>
    <row r="61" spans="1:12" x14ac:dyDescent="0.15">
      <c r="A61" s="298"/>
      <c r="B61" s="346"/>
      <c r="C61" s="346"/>
      <c r="D61" s="346"/>
      <c r="E61" s="346"/>
      <c r="F61" s="346"/>
      <c r="G61" s="346"/>
      <c r="H61" s="298"/>
      <c r="I61" s="298"/>
      <c r="J61" s="298"/>
      <c r="K61" s="298"/>
      <c r="L61" s="298"/>
    </row>
    <row r="62" spans="1:12" x14ac:dyDescent="0.15">
      <c r="A62" s="298"/>
      <c r="B62" s="346"/>
      <c r="C62" s="346"/>
      <c r="D62" s="346"/>
      <c r="E62" s="346"/>
      <c r="F62" s="346"/>
      <c r="G62" s="346"/>
      <c r="H62" s="351"/>
      <c r="I62" s="351"/>
      <c r="J62" s="351"/>
      <c r="K62" s="351"/>
      <c r="L62" s="351"/>
    </row>
    <row r="63" spans="1:12" x14ac:dyDescent="0.15">
      <c r="A63" s="328" t="s">
        <v>75</v>
      </c>
      <c r="B63" s="329">
        <f t="shared" ref="B63:G63" si="8">B11</f>
        <v>2019</v>
      </c>
      <c r="C63" s="329">
        <f t="shared" si="8"/>
        <v>2020</v>
      </c>
      <c r="D63" s="329">
        <f t="shared" si="8"/>
        <v>2021</v>
      </c>
      <c r="E63" s="329">
        <f t="shared" si="8"/>
        <v>2022</v>
      </c>
      <c r="F63" s="329">
        <f t="shared" si="8"/>
        <v>2023</v>
      </c>
      <c r="G63" s="329">
        <f t="shared" si="8"/>
        <v>2024</v>
      </c>
      <c r="H63" s="298"/>
      <c r="I63" s="14" t="s">
        <v>76</v>
      </c>
      <c r="J63" s="298"/>
      <c r="K63" s="298"/>
      <c r="L63" s="298"/>
    </row>
    <row r="64" spans="1:12" x14ac:dyDescent="0.15">
      <c r="A64" s="14"/>
      <c r="B64" s="346"/>
      <c r="C64" s="346"/>
      <c r="D64" s="346"/>
      <c r="E64" s="346"/>
      <c r="F64" s="346"/>
      <c r="G64" s="346"/>
      <c r="H64" s="348"/>
      <c r="I64" s="298" t="s">
        <v>77</v>
      </c>
      <c r="J64" s="298"/>
      <c r="K64" s="298"/>
      <c r="L64" s="298"/>
    </row>
    <row r="65" spans="1:17" x14ac:dyDescent="0.15">
      <c r="A65" s="298" t="s">
        <v>78</v>
      </c>
      <c r="B65" s="319">
        <v>29873.599999999999</v>
      </c>
      <c r="C65" s="319">
        <v>27992.1</v>
      </c>
      <c r="D65" s="319">
        <v>32287.599999999999</v>
      </c>
      <c r="E65" s="319">
        <v>38260.6</v>
      </c>
      <c r="F65" s="319">
        <v>41182.5</v>
      </c>
      <c r="G65" s="319">
        <v>43486.8</v>
      </c>
      <c r="H65" s="352"/>
      <c r="I65" s="352"/>
      <c r="J65" s="352"/>
      <c r="K65" s="352"/>
      <c r="L65" s="352"/>
      <c r="M65" s="298"/>
      <c r="N65" s="298"/>
      <c r="O65" s="298"/>
      <c r="P65" s="298"/>
      <c r="Q65" s="298"/>
    </row>
    <row r="66" spans="1:17" x14ac:dyDescent="0.15">
      <c r="A66" s="298" t="s">
        <v>79</v>
      </c>
      <c r="B66" s="319">
        <v>-8064.7</v>
      </c>
      <c r="C66" s="319">
        <v>-7532.3</v>
      </c>
      <c r="D66" s="319">
        <v>-8433.2999999999993</v>
      </c>
      <c r="E66" s="319">
        <v>-10577.4</v>
      </c>
      <c r="F66" s="319">
        <v>-10767</v>
      </c>
      <c r="G66" s="319">
        <v>-11227</v>
      </c>
      <c r="H66" s="298"/>
      <c r="I66" s="298"/>
      <c r="J66" s="298"/>
      <c r="K66" s="298"/>
      <c r="L66" s="298"/>
      <c r="M66" s="298"/>
      <c r="N66" s="298"/>
      <c r="O66" s="298"/>
      <c r="P66" s="298"/>
      <c r="Q66" s="298"/>
    </row>
    <row r="67" spans="1:17" x14ac:dyDescent="0.15">
      <c r="A67" s="18" t="s">
        <v>80</v>
      </c>
      <c r="B67" s="22">
        <f t="shared" ref="B67:G67" si="9">B65+B66</f>
        <v>21808.899999999998</v>
      </c>
      <c r="C67" s="22">
        <f t="shared" si="9"/>
        <v>20459.8</v>
      </c>
      <c r="D67" s="22">
        <f t="shared" si="9"/>
        <v>23854.3</v>
      </c>
      <c r="E67" s="22">
        <f t="shared" si="9"/>
        <v>27683.199999999997</v>
      </c>
      <c r="F67" s="22">
        <f t="shared" si="9"/>
        <v>30415.5</v>
      </c>
      <c r="G67" s="22">
        <f t="shared" si="9"/>
        <v>32259.800000000003</v>
      </c>
      <c r="H67" s="298"/>
      <c r="I67" s="298" t="s">
        <v>81</v>
      </c>
      <c r="J67" s="298"/>
      <c r="K67" s="298"/>
      <c r="L67" s="298"/>
      <c r="M67" s="298"/>
      <c r="N67" s="298"/>
      <c r="O67" s="298"/>
      <c r="P67" s="298"/>
      <c r="Q67" s="298"/>
    </row>
    <row r="68" spans="1:17" x14ac:dyDescent="0.15">
      <c r="A68" s="298" t="s">
        <v>82</v>
      </c>
      <c r="B68" s="319">
        <v>-6068.3</v>
      </c>
      <c r="C68" s="319">
        <v>-5638.5</v>
      </c>
      <c r="D68" s="319">
        <v>-6074.2</v>
      </c>
      <c r="E68" s="319">
        <v>-7028.8</v>
      </c>
      <c r="F68" s="319">
        <v>-7626.7</v>
      </c>
      <c r="G68" s="319">
        <v>-8208.7000000000007</v>
      </c>
      <c r="H68" s="353"/>
      <c r="I68" s="298"/>
      <c r="J68" s="298"/>
      <c r="K68" s="298"/>
      <c r="L68" s="298"/>
      <c r="M68" s="298"/>
      <c r="N68" s="298"/>
      <c r="O68" s="298"/>
      <c r="P68" s="298"/>
      <c r="Q68" s="298"/>
    </row>
    <row r="69" spans="1:17" x14ac:dyDescent="0.15">
      <c r="A69" s="298" t="s">
        <v>83</v>
      </c>
      <c r="B69" s="319">
        <v>-985.3</v>
      </c>
      <c r="C69" s="319">
        <v>-964.4</v>
      </c>
      <c r="D69" s="319">
        <v>-1028.7</v>
      </c>
      <c r="E69" s="319">
        <v>-1138.5999999999999</v>
      </c>
      <c r="F69" s="319">
        <v>-1288.9000000000001</v>
      </c>
      <c r="G69" s="319">
        <v>-1354.7</v>
      </c>
      <c r="H69" s="298"/>
      <c r="I69" s="298"/>
      <c r="J69" s="298"/>
      <c r="K69" s="298"/>
      <c r="L69" s="298"/>
      <c r="M69" s="350"/>
      <c r="N69" s="350"/>
      <c r="O69" s="350"/>
      <c r="P69" s="350"/>
      <c r="Q69" s="350"/>
    </row>
    <row r="70" spans="1:17" x14ac:dyDescent="0.15">
      <c r="A70" s="298" t="s">
        <v>84</v>
      </c>
      <c r="B70" s="319">
        <v>-9207.7999999999993</v>
      </c>
      <c r="C70" s="319">
        <v>-8647.9</v>
      </c>
      <c r="D70" s="319">
        <v>-10591</v>
      </c>
      <c r="E70" s="319">
        <v>-12059</v>
      </c>
      <c r="F70" s="319">
        <v>-13356.6</v>
      </c>
      <c r="G70" s="319">
        <v>-14008.9</v>
      </c>
      <c r="H70" s="298"/>
      <c r="I70" s="298"/>
      <c r="J70" s="298"/>
      <c r="K70" s="298"/>
      <c r="L70" s="298"/>
      <c r="M70" s="298"/>
      <c r="N70" s="298"/>
      <c r="O70" s="298"/>
      <c r="P70" s="298"/>
      <c r="Q70" s="298"/>
    </row>
    <row r="71" spans="1:17" x14ac:dyDescent="0.15">
      <c r="A71" s="298" t="s">
        <v>85</v>
      </c>
      <c r="B71" s="332"/>
      <c r="C71" s="332"/>
      <c r="D71" s="332"/>
      <c r="E71" s="332"/>
      <c r="F71" s="332"/>
      <c r="G71" s="332"/>
      <c r="H71" s="298"/>
      <c r="I71" s="298"/>
      <c r="J71" s="298"/>
      <c r="K71" s="298"/>
      <c r="L71" s="298"/>
      <c r="M71" s="298"/>
      <c r="N71" s="298"/>
      <c r="O71" s="298"/>
      <c r="P71" s="298"/>
      <c r="Q71" s="298"/>
    </row>
    <row r="72" spans="1:17" x14ac:dyDescent="0.15">
      <c r="A72" s="298" t="s">
        <v>86</v>
      </c>
      <c r="B72" s="319">
        <v>-436.5</v>
      </c>
      <c r="C72" s="319">
        <v>-709</v>
      </c>
      <c r="D72" s="319">
        <v>-432</v>
      </c>
      <c r="E72" s="319">
        <v>-241.5</v>
      </c>
      <c r="F72" s="319">
        <v>-449.9</v>
      </c>
      <c r="G72" s="319">
        <v>-437.7</v>
      </c>
      <c r="H72" s="298"/>
      <c r="I72" s="298" t="s">
        <v>87</v>
      </c>
      <c r="J72" s="298"/>
      <c r="K72" s="298"/>
      <c r="L72" s="298"/>
      <c r="M72" s="298"/>
      <c r="N72" s="298"/>
      <c r="O72" s="298"/>
      <c r="P72" s="298"/>
      <c r="Q72" s="298"/>
    </row>
    <row r="73" spans="1:17" x14ac:dyDescent="0.15">
      <c r="A73" s="298" t="s">
        <v>88</v>
      </c>
      <c r="B73" s="487"/>
      <c r="C73" s="15"/>
      <c r="D73" s="15"/>
      <c r="E73" s="15"/>
      <c r="F73" s="15"/>
      <c r="G73" s="15"/>
      <c r="H73" s="298"/>
      <c r="I73" s="298"/>
      <c r="J73" s="298"/>
      <c r="K73" s="298"/>
      <c r="L73" s="298"/>
      <c r="M73" s="298"/>
      <c r="N73" s="298"/>
      <c r="O73" s="298"/>
      <c r="P73" s="298"/>
      <c r="Q73" s="298"/>
    </row>
    <row r="74" spans="1:17" x14ac:dyDescent="0.15">
      <c r="A74" s="298" t="s">
        <v>89</v>
      </c>
      <c r="B74" s="15"/>
      <c r="C74" s="15"/>
      <c r="D74" s="15"/>
      <c r="E74" s="15"/>
      <c r="F74" s="15"/>
      <c r="G74" s="15"/>
      <c r="H74" s="298"/>
      <c r="I74" s="298" t="s">
        <v>90</v>
      </c>
      <c r="J74" s="298"/>
      <c r="K74" s="298"/>
      <c r="L74" s="298"/>
      <c r="M74" s="298"/>
      <c r="N74" s="298"/>
      <c r="O74" s="298"/>
      <c r="P74" s="298"/>
      <c r="Q74" s="298"/>
    </row>
    <row r="75" spans="1:17" x14ac:dyDescent="0.15">
      <c r="A75" s="298" t="s">
        <v>91</v>
      </c>
      <c r="B75" s="15"/>
      <c r="C75" s="15"/>
      <c r="D75" s="15"/>
      <c r="E75" s="15"/>
      <c r="F75" s="15"/>
      <c r="G75" s="15"/>
      <c r="H75" s="298"/>
      <c r="I75" s="298"/>
      <c r="J75" s="298"/>
      <c r="K75" s="298"/>
      <c r="L75" s="298"/>
      <c r="M75" s="298"/>
      <c r="N75" s="298"/>
      <c r="O75" s="298"/>
      <c r="P75" s="298"/>
      <c r="Q75" s="298"/>
    </row>
    <row r="76" spans="1:17" x14ac:dyDescent="0.15">
      <c r="A76" s="298" t="s">
        <v>92</v>
      </c>
      <c r="B76" s="15"/>
      <c r="C76" s="15"/>
      <c r="D76" s="15"/>
      <c r="E76" s="15"/>
      <c r="F76" s="15"/>
      <c r="G76" s="15"/>
      <c r="H76" s="298"/>
      <c r="I76" s="298" t="s">
        <v>93</v>
      </c>
      <c r="J76" s="298"/>
      <c r="K76" s="298"/>
      <c r="L76" s="298"/>
      <c r="M76" s="298"/>
      <c r="N76" s="298"/>
      <c r="O76" s="298"/>
      <c r="P76" s="298"/>
      <c r="Q76" s="298"/>
    </row>
    <row r="77" spans="1:17" x14ac:dyDescent="0.15">
      <c r="A77" s="18" t="s">
        <v>94</v>
      </c>
      <c r="B77" s="22">
        <f t="shared" ref="B77:G77" si="10">SUM(B67:B76)</f>
        <v>5111</v>
      </c>
      <c r="C77" s="22">
        <f t="shared" si="10"/>
        <v>4500</v>
      </c>
      <c r="D77" s="22">
        <f t="shared" si="10"/>
        <v>5728.3999999999978</v>
      </c>
      <c r="E77" s="22">
        <f t="shared" si="10"/>
        <v>7215.2999999999993</v>
      </c>
      <c r="F77" s="22">
        <f t="shared" si="10"/>
        <v>7693.3999999999978</v>
      </c>
      <c r="G77" s="22">
        <f t="shared" si="10"/>
        <v>8249.8000000000011</v>
      </c>
      <c r="H77" s="298"/>
      <c r="I77" s="298" t="s">
        <v>95</v>
      </c>
      <c r="J77" s="298"/>
      <c r="K77" s="298"/>
      <c r="L77" s="298"/>
      <c r="M77" s="298"/>
      <c r="N77" s="298"/>
      <c r="O77" s="298"/>
      <c r="P77" s="298"/>
      <c r="Q77" s="298"/>
    </row>
    <row r="78" spans="1:17" x14ac:dyDescent="0.15">
      <c r="A78" s="298" t="s">
        <v>96</v>
      </c>
      <c r="B78" s="319">
        <v>0</v>
      </c>
      <c r="C78" s="319">
        <v>0</v>
      </c>
      <c r="D78" s="319">
        <v>0</v>
      </c>
      <c r="E78" s="319">
        <v>0</v>
      </c>
      <c r="F78" s="319">
        <v>0</v>
      </c>
      <c r="G78" s="319">
        <v>0</v>
      </c>
      <c r="H78" s="298"/>
      <c r="I78" s="350"/>
      <c r="J78" s="350"/>
      <c r="K78" s="350"/>
      <c r="L78" s="298"/>
      <c r="M78" s="350"/>
      <c r="N78" s="350"/>
      <c r="O78" s="350"/>
      <c r="P78" s="350"/>
      <c r="Q78" s="350"/>
    </row>
    <row r="79" spans="1:17" x14ac:dyDescent="0.15">
      <c r="A79" s="298" t="s">
        <v>97</v>
      </c>
      <c r="B79" s="15">
        <v>-75.400000000000006</v>
      </c>
      <c r="C79" s="15">
        <v>-79.2</v>
      </c>
      <c r="D79" s="15">
        <v>-38</v>
      </c>
      <c r="E79" s="15">
        <v>-70.400000000000006</v>
      </c>
      <c r="F79" s="15">
        <v>-226.7</v>
      </c>
      <c r="G79" s="15">
        <v>-373.4</v>
      </c>
      <c r="H79" s="298"/>
      <c r="I79" s="348"/>
      <c r="J79" s="348"/>
      <c r="K79" s="348"/>
      <c r="L79" s="298"/>
      <c r="M79" s="298"/>
      <c r="N79" s="298"/>
      <c r="O79" s="298"/>
      <c r="P79" s="298"/>
      <c r="Q79" s="298"/>
    </row>
    <row r="80" spans="1:17" x14ac:dyDescent="0.15">
      <c r="A80" s="298" t="s">
        <v>98</v>
      </c>
      <c r="B80" s="319">
        <v>363</v>
      </c>
      <c r="C80" s="319">
        <v>372.4</v>
      </c>
      <c r="D80" s="319">
        <v>378.3</v>
      </c>
      <c r="E80" s="319">
        <v>468.2</v>
      </c>
      <c r="F80" s="319">
        <v>420.9</v>
      </c>
      <c r="G80" s="319">
        <v>444.5</v>
      </c>
      <c r="H80" s="298"/>
      <c r="I80" s="298" t="s">
        <v>99</v>
      </c>
      <c r="J80" s="298"/>
      <c r="K80" s="298"/>
      <c r="L80" s="298"/>
      <c r="M80" s="298"/>
      <c r="N80" s="298"/>
      <c r="O80" s="298"/>
      <c r="P80" s="298"/>
      <c r="Q80" s="298"/>
    </row>
    <row r="81" spans="1:24" x14ac:dyDescent="0.15">
      <c r="A81" s="298" t="s">
        <v>100</v>
      </c>
      <c r="B81" s="319">
        <v>-16</v>
      </c>
      <c r="C81" s="319">
        <v>-36.5</v>
      </c>
      <c r="D81" s="319">
        <v>-40.200000000000003</v>
      </c>
      <c r="E81" s="319">
        <v>-72.3</v>
      </c>
      <c r="F81" s="319">
        <v>-48.8</v>
      </c>
      <c r="G81" s="319">
        <v>-36.700000000000003</v>
      </c>
      <c r="H81" s="298"/>
      <c r="I81" s="298"/>
      <c r="J81" s="298"/>
      <c r="K81" s="298"/>
      <c r="L81" s="298"/>
      <c r="M81" s="298"/>
      <c r="N81" s="298"/>
      <c r="O81" s="298"/>
      <c r="P81" s="298"/>
      <c r="Q81" s="298"/>
      <c r="R81" s="298"/>
      <c r="S81" s="298"/>
      <c r="T81" s="298"/>
      <c r="U81" s="298"/>
      <c r="V81" s="298"/>
      <c r="W81" s="298"/>
      <c r="X81" s="298"/>
    </row>
    <row r="82" spans="1:24" x14ac:dyDescent="0.15">
      <c r="A82" s="298" t="s">
        <v>101</v>
      </c>
      <c r="B82" s="319">
        <v>28.7</v>
      </c>
      <c r="C82" s="319">
        <v>19.8</v>
      </c>
      <c r="D82" s="319">
        <v>18.5</v>
      </c>
      <c r="E82" s="319">
        <v>69.8</v>
      </c>
      <c r="F82" s="319">
        <v>162.1</v>
      </c>
      <c r="G82" s="319">
        <v>148.69999999999999</v>
      </c>
      <c r="H82" s="298"/>
      <c r="I82" s="298" t="s">
        <v>102</v>
      </c>
      <c r="J82" s="298"/>
      <c r="K82" s="298"/>
      <c r="L82" s="298"/>
      <c r="M82" s="298"/>
      <c r="N82" s="298"/>
      <c r="O82" s="298"/>
      <c r="P82" s="298"/>
      <c r="Q82" s="298"/>
      <c r="R82" s="298"/>
      <c r="S82" s="298"/>
      <c r="T82" s="298"/>
      <c r="U82" s="298"/>
      <c r="V82" s="298"/>
      <c r="W82" s="298"/>
      <c r="X82" s="298"/>
    </row>
    <row r="83" spans="1:24" x14ac:dyDescent="0.15">
      <c r="A83" s="18" t="s">
        <v>103</v>
      </c>
      <c r="B83" s="22">
        <f t="shared" ref="B83:G83" si="11">SUM(B77:B82)</f>
        <v>5411.3</v>
      </c>
      <c r="C83" s="22">
        <f t="shared" si="11"/>
        <v>4776.5</v>
      </c>
      <c r="D83" s="22">
        <f t="shared" si="11"/>
        <v>6046.9999999999982</v>
      </c>
      <c r="E83" s="22">
        <f t="shared" si="11"/>
        <v>7610.5999999999995</v>
      </c>
      <c r="F83" s="22">
        <f t="shared" si="11"/>
        <v>8000.8999999999978</v>
      </c>
      <c r="G83" s="22">
        <f t="shared" si="11"/>
        <v>8432.9000000000015</v>
      </c>
      <c r="H83" s="298"/>
      <c r="I83" s="298" t="s">
        <v>104</v>
      </c>
      <c r="J83" s="298"/>
      <c r="K83" s="298"/>
      <c r="L83" s="298"/>
      <c r="M83" s="298"/>
      <c r="N83" s="298"/>
      <c r="O83" s="298"/>
      <c r="P83" s="298"/>
      <c r="Q83" s="298"/>
      <c r="R83" s="298"/>
      <c r="S83" s="298"/>
      <c r="T83" s="298"/>
      <c r="U83" s="298"/>
      <c r="V83" s="298"/>
      <c r="W83" s="298"/>
      <c r="X83" s="298"/>
    </row>
    <row r="84" spans="1:24" x14ac:dyDescent="0.15">
      <c r="A84" s="298" t="s">
        <v>105</v>
      </c>
      <c r="B84" s="319">
        <v>-1657.2</v>
      </c>
      <c r="C84" s="319">
        <v>-1209.8</v>
      </c>
      <c r="D84" s="319">
        <v>-1445.4</v>
      </c>
      <c r="E84" s="319">
        <v>-1899.4</v>
      </c>
      <c r="F84" s="319">
        <v>-1810.6</v>
      </c>
      <c r="G84" s="319">
        <v>-2015.1</v>
      </c>
      <c r="H84" s="298"/>
      <c r="I84" s="298" t="s">
        <v>106</v>
      </c>
      <c r="J84" s="298"/>
      <c r="K84" s="298"/>
      <c r="L84" s="298"/>
      <c r="M84" s="298"/>
      <c r="N84" s="298"/>
      <c r="O84" s="298"/>
      <c r="P84" s="298"/>
      <c r="Q84" s="298"/>
      <c r="R84" s="298"/>
      <c r="S84" s="298"/>
      <c r="T84" s="298"/>
      <c r="U84" s="298"/>
      <c r="V84" s="298"/>
      <c r="W84" s="298"/>
      <c r="X84" s="298"/>
    </row>
    <row r="85" spans="1:24" x14ac:dyDescent="0.15">
      <c r="A85" s="298" t="s">
        <v>107</v>
      </c>
      <c r="B85" s="15"/>
      <c r="C85" s="15"/>
      <c r="D85" s="15"/>
      <c r="E85" s="15"/>
      <c r="F85" s="15"/>
      <c r="G85" s="15"/>
      <c r="H85" s="298"/>
      <c r="I85" s="298" t="s">
        <v>108</v>
      </c>
      <c r="J85" s="298"/>
      <c r="K85" s="298"/>
      <c r="L85" s="298"/>
      <c r="M85" s="298"/>
      <c r="N85" s="298"/>
      <c r="O85" s="298"/>
      <c r="P85" s="298"/>
      <c r="Q85" s="298"/>
      <c r="R85" s="298"/>
      <c r="S85" s="298"/>
      <c r="T85" s="298"/>
      <c r="U85" s="298"/>
      <c r="V85" s="298"/>
      <c r="W85" s="298"/>
      <c r="X85" s="298"/>
    </row>
    <row r="86" spans="1:24" x14ac:dyDescent="0.15">
      <c r="A86" s="298" t="s">
        <v>109</v>
      </c>
      <c r="B86" s="319">
        <v>1</v>
      </c>
      <c r="C86" s="319">
        <v>0.9</v>
      </c>
      <c r="D86" s="319">
        <v>0.6</v>
      </c>
      <c r="E86" s="319">
        <v>1.4</v>
      </c>
      <c r="F86" s="319">
        <v>0.2</v>
      </c>
      <c r="G86" s="319">
        <v>-1.3</v>
      </c>
      <c r="H86" s="298"/>
      <c r="I86" s="298" t="s">
        <v>110</v>
      </c>
      <c r="J86" s="298"/>
      <c r="K86" s="298"/>
      <c r="L86" s="298"/>
      <c r="M86" s="298"/>
      <c r="N86" s="298"/>
      <c r="O86" s="298"/>
      <c r="P86" s="298"/>
      <c r="Q86" s="298"/>
      <c r="R86" s="298"/>
      <c r="S86" s="298"/>
      <c r="T86" s="298"/>
      <c r="U86" s="298"/>
      <c r="V86" s="298"/>
      <c r="W86" s="298"/>
      <c r="X86" s="298"/>
    </row>
    <row r="87" spans="1:24" x14ac:dyDescent="0.15">
      <c r="A87" s="298" t="s">
        <v>111</v>
      </c>
      <c r="B87" s="15"/>
      <c r="C87" s="15"/>
      <c r="D87" s="15"/>
      <c r="E87" s="15"/>
      <c r="F87" s="15"/>
      <c r="G87" s="15"/>
      <c r="H87" s="298"/>
      <c r="I87" s="298" t="s">
        <v>112</v>
      </c>
      <c r="J87" s="298"/>
      <c r="K87" s="298"/>
      <c r="L87" s="298"/>
      <c r="M87" s="298"/>
      <c r="N87" s="298"/>
      <c r="O87" s="298"/>
      <c r="P87" s="298"/>
      <c r="Q87" s="298"/>
      <c r="R87" s="298"/>
      <c r="S87" s="298"/>
      <c r="T87" s="298"/>
      <c r="U87" s="298"/>
      <c r="V87" s="298"/>
      <c r="W87" s="298"/>
      <c r="X87" s="298"/>
    </row>
    <row r="88" spans="1:24" x14ac:dyDescent="0.15">
      <c r="A88" s="18" t="s">
        <v>113</v>
      </c>
      <c r="B88" s="19">
        <f t="shared" ref="B88:G88" si="12">SUM(B83:B87)</f>
        <v>3755.1000000000004</v>
      </c>
      <c r="C88" s="19">
        <f t="shared" si="12"/>
        <v>3567.6</v>
      </c>
      <c r="D88" s="19">
        <f t="shared" si="12"/>
        <v>4602.1999999999989</v>
      </c>
      <c r="E88" s="19">
        <f t="shared" si="12"/>
        <v>5712.5999999999985</v>
      </c>
      <c r="F88" s="19">
        <f t="shared" si="12"/>
        <v>6190.4999999999973</v>
      </c>
      <c r="G88" s="19">
        <f t="shared" si="12"/>
        <v>6416.5000000000009</v>
      </c>
      <c r="H88" s="298"/>
      <c r="I88" s="298" t="s">
        <v>114</v>
      </c>
      <c r="J88" s="298"/>
      <c r="K88" s="298"/>
      <c r="L88" s="298"/>
      <c r="M88" s="298"/>
      <c r="N88" s="298"/>
      <c r="O88" s="298"/>
      <c r="P88" s="298"/>
      <c r="Q88" s="298"/>
      <c r="R88" s="298"/>
      <c r="S88" s="298"/>
      <c r="T88" s="298"/>
      <c r="U88" s="298"/>
      <c r="V88" s="298"/>
      <c r="W88" s="298"/>
      <c r="X88" s="298"/>
    </row>
    <row r="89" spans="1:24" x14ac:dyDescent="0.15">
      <c r="A89" s="298" t="s">
        <v>115</v>
      </c>
      <c r="B89" s="319">
        <v>5.2</v>
      </c>
      <c r="C89" s="319">
        <v>4.2</v>
      </c>
      <c r="D89" s="319">
        <v>5.0999999999999996</v>
      </c>
      <c r="E89" s="319">
        <v>6</v>
      </c>
      <c r="F89" s="319">
        <v>6.5</v>
      </c>
      <c r="G89" s="319">
        <v>7.5</v>
      </c>
      <c r="H89" s="298"/>
      <c r="I89" s="298" t="s">
        <v>116</v>
      </c>
      <c r="J89" s="298"/>
      <c r="K89" s="298"/>
      <c r="L89" s="298"/>
      <c r="M89" s="298"/>
      <c r="N89" s="298"/>
      <c r="O89" s="298"/>
      <c r="P89" s="298"/>
      <c r="Q89" s="298"/>
      <c r="R89" s="298"/>
      <c r="S89" s="298"/>
      <c r="T89" s="298"/>
      <c r="U89" s="298"/>
      <c r="V89" s="298"/>
      <c r="W89" s="298"/>
      <c r="X89" s="298"/>
    </row>
    <row r="90" spans="1:24" x14ac:dyDescent="0.15">
      <c r="A90" s="18" t="s">
        <v>117</v>
      </c>
      <c r="B90" s="19">
        <f t="shared" ref="B90:G90" si="13">B88+B89</f>
        <v>3760.3</v>
      </c>
      <c r="C90" s="19">
        <f t="shared" si="13"/>
        <v>3571.7999999999997</v>
      </c>
      <c r="D90" s="19">
        <f t="shared" si="13"/>
        <v>4607.2999999999993</v>
      </c>
      <c r="E90" s="19">
        <f t="shared" si="13"/>
        <v>5718.5999999999985</v>
      </c>
      <c r="F90" s="19">
        <f t="shared" si="13"/>
        <v>6196.9999999999973</v>
      </c>
      <c r="G90" s="19">
        <f t="shared" si="13"/>
        <v>6424.0000000000009</v>
      </c>
      <c r="H90" s="298"/>
      <c r="I90" s="350"/>
      <c r="J90" s="350"/>
      <c r="K90" s="350"/>
      <c r="L90" s="350"/>
      <c r="M90" s="298"/>
      <c r="N90" s="298"/>
      <c r="O90" s="298"/>
      <c r="P90" s="298"/>
      <c r="Q90" s="298"/>
      <c r="R90" s="298"/>
      <c r="S90" s="298"/>
      <c r="T90" s="298"/>
      <c r="U90" s="298"/>
      <c r="V90" s="298"/>
      <c r="W90" s="298"/>
      <c r="X90" s="298"/>
    </row>
    <row r="91" spans="1:24" x14ac:dyDescent="0.15">
      <c r="A91" s="298" t="s">
        <v>118</v>
      </c>
      <c r="B91" s="319">
        <v>3760</v>
      </c>
      <c r="C91" s="319">
        <v>3572</v>
      </c>
      <c r="D91" s="319">
        <v>4607</v>
      </c>
      <c r="E91" s="319">
        <v>5719</v>
      </c>
      <c r="F91" s="319">
        <v>6197</v>
      </c>
      <c r="G91" s="319">
        <v>6424</v>
      </c>
      <c r="H91" s="298"/>
      <c r="I91" s="298" t="s">
        <v>119</v>
      </c>
      <c r="J91" s="298"/>
      <c r="K91" s="298"/>
      <c r="L91" s="298"/>
      <c r="M91" s="298"/>
      <c r="N91" s="298"/>
      <c r="O91" s="298"/>
      <c r="P91" s="298"/>
      <c r="Q91" s="298"/>
      <c r="R91" s="298"/>
      <c r="S91" s="298"/>
      <c r="T91" s="298"/>
      <c r="U91" s="298"/>
      <c r="V91" s="298"/>
      <c r="W91" s="298"/>
      <c r="X91" s="298"/>
    </row>
    <row r="92" spans="1:24" x14ac:dyDescent="0.15">
      <c r="A92" s="298"/>
      <c r="B92" s="20"/>
      <c r="C92" s="20"/>
      <c r="D92" s="20"/>
      <c r="E92" s="20"/>
      <c r="F92" s="20"/>
      <c r="G92" s="20"/>
      <c r="H92" s="298"/>
      <c r="I92" s="298"/>
      <c r="J92" s="298"/>
      <c r="K92" s="298"/>
      <c r="L92" s="298"/>
      <c r="M92" s="298"/>
      <c r="N92" s="298"/>
      <c r="O92" s="298"/>
      <c r="P92" s="298"/>
      <c r="Q92" s="298"/>
      <c r="R92" s="298"/>
      <c r="S92" s="298"/>
      <c r="T92" s="298"/>
      <c r="U92" s="298"/>
      <c r="V92" s="298"/>
      <c r="W92" s="298"/>
      <c r="X92" s="298"/>
    </row>
    <row r="93" spans="1:24" x14ac:dyDescent="0.15">
      <c r="A93" s="298" t="s">
        <v>120</v>
      </c>
      <c r="B93" s="319">
        <v>1541.8</v>
      </c>
      <c r="C93" s="319">
        <v>-2081.3000000000002</v>
      </c>
      <c r="D93" s="319">
        <v>2044.3</v>
      </c>
      <c r="E93" s="319">
        <v>861.8</v>
      </c>
      <c r="F93" s="319">
        <v>-707</v>
      </c>
      <c r="G93" s="319">
        <v>1414.3</v>
      </c>
      <c r="H93" s="298"/>
      <c r="I93" s="298" t="s">
        <v>121</v>
      </c>
      <c r="J93" s="298"/>
      <c r="K93" s="298"/>
      <c r="L93" s="298"/>
      <c r="M93" s="298"/>
      <c r="N93" s="298"/>
      <c r="O93" s="298"/>
      <c r="P93" s="298"/>
      <c r="Q93" s="298"/>
      <c r="R93" s="298"/>
      <c r="S93" s="298"/>
      <c r="T93" s="298"/>
      <c r="U93" s="298"/>
      <c r="V93" s="298"/>
      <c r="W93" s="298"/>
      <c r="X93" s="298"/>
    </row>
    <row r="94" spans="1:24" x14ac:dyDescent="0.15">
      <c r="A94" s="18" t="s">
        <v>122</v>
      </c>
      <c r="B94" s="19">
        <f>B88+B93</f>
        <v>5296.9000000000005</v>
      </c>
      <c r="C94" s="19">
        <f t="shared" ref="C94:G94" si="14">C88+C93</f>
        <v>1486.2999999999997</v>
      </c>
      <c r="D94" s="19">
        <f t="shared" si="14"/>
        <v>6646.4999999999991</v>
      </c>
      <c r="E94" s="19">
        <f t="shared" si="14"/>
        <v>6574.3999999999987</v>
      </c>
      <c r="F94" s="19">
        <f t="shared" si="14"/>
        <v>5483.4999999999973</v>
      </c>
      <c r="G94" s="19">
        <f t="shared" si="14"/>
        <v>7830.8000000000011</v>
      </c>
      <c r="H94" s="298"/>
      <c r="I94" s="298" t="s">
        <v>123</v>
      </c>
      <c r="J94" s="298"/>
      <c r="K94" s="298"/>
      <c r="L94" s="298"/>
      <c r="M94" s="298"/>
      <c r="N94" s="298"/>
      <c r="O94" s="298"/>
      <c r="P94" s="298"/>
      <c r="Q94" s="298"/>
      <c r="R94" s="298"/>
      <c r="S94" s="298"/>
      <c r="T94" s="298"/>
      <c r="U94" s="298"/>
      <c r="V94" s="298"/>
      <c r="W94" s="298"/>
      <c r="X94" s="298"/>
    </row>
    <row r="95" spans="1:24" x14ac:dyDescent="0.15">
      <c r="A95" s="298"/>
      <c r="B95" s="346"/>
      <c r="C95" s="346"/>
      <c r="D95" s="346"/>
      <c r="E95" s="346"/>
      <c r="F95" s="346"/>
      <c r="G95" s="346"/>
      <c r="H95" s="298"/>
      <c r="I95" s="298"/>
      <c r="J95" s="298"/>
      <c r="K95" s="298"/>
      <c r="L95" s="298"/>
      <c r="M95" s="298"/>
      <c r="N95" s="298"/>
      <c r="O95" s="298"/>
      <c r="P95" s="298"/>
      <c r="Q95" s="298"/>
      <c r="R95" s="298"/>
      <c r="S95" s="350">
        <f t="shared" ref="S95:X95" si="15">B84/B83</f>
        <v>-0.3062480365161791</v>
      </c>
      <c r="T95" s="350">
        <f t="shared" si="15"/>
        <v>-0.25328169161519942</v>
      </c>
      <c r="U95" s="350">
        <f t="shared" si="15"/>
        <v>-0.23902761700016545</v>
      </c>
      <c r="V95" s="350">
        <f t="shared" si="15"/>
        <v>-0.24957296402386148</v>
      </c>
      <c r="W95" s="350">
        <f t="shared" si="15"/>
        <v>-0.22629954130160362</v>
      </c>
      <c r="X95" s="350">
        <f t="shared" si="15"/>
        <v>-0.23895694245158838</v>
      </c>
    </row>
    <row r="96" spans="1:24" x14ac:dyDescent="0.15">
      <c r="A96" s="298"/>
      <c r="B96" s="354"/>
      <c r="C96" s="346"/>
      <c r="D96" s="346"/>
      <c r="E96" s="346"/>
      <c r="F96" s="354"/>
      <c r="G96" s="354"/>
      <c r="H96" s="354"/>
      <c r="I96" s="298"/>
      <c r="J96" s="298"/>
      <c r="K96" s="298"/>
      <c r="L96" s="298"/>
      <c r="M96" s="298"/>
      <c r="N96" s="298"/>
      <c r="O96" s="298"/>
      <c r="P96" s="298"/>
      <c r="Q96" s="298"/>
      <c r="R96" s="298"/>
      <c r="S96" s="298"/>
      <c r="T96" s="298"/>
      <c r="U96" s="298"/>
      <c r="V96" s="298"/>
      <c r="W96" s="298"/>
      <c r="X96" s="298"/>
    </row>
    <row r="97" spans="1:16" x14ac:dyDescent="0.15">
      <c r="A97" s="328" t="s">
        <v>124</v>
      </c>
      <c r="B97" s="329">
        <f t="shared" ref="B97:G97" si="16">B11</f>
        <v>2019</v>
      </c>
      <c r="C97" s="329">
        <f t="shared" si="16"/>
        <v>2020</v>
      </c>
      <c r="D97" s="329">
        <f t="shared" si="16"/>
        <v>2021</v>
      </c>
      <c r="E97" s="329">
        <f t="shared" si="16"/>
        <v>2022</v>
      </c>
      <c r="F97" s="329">
        <f t="shared" si="16"/>
        <v>2023</v>
      </c>
      <c r="G97" s="329">
        <f t="shared" si="16"/>
        <v>2024</v>
      </c>
      <c r="H97" s="298"/>
      <c r="I97" s="14" t="s">
        <v>125</v>
      </c>
      <c r="J97" s="298"/>
      <c r="K97" s="298"/>
      <c r="L97" s="298"/>
      <c r="M97" s="298"/>
      <c r="N97" s="298"/>
      <c r="O97" s="298"/>
      <c r="P97" s="298"/>
    </row>
    <row r="98" spans="1:16" x14ac:dyDescent="0.15">
      <c r="A98" s="14"/>
      <c r="B98" s="346"/>
      <c r="C98" s="346"/>
      <c r="D98" s="346"/>
      <c r="E98" s="346"/>
      <c r="F98" s="346"/>
      <c r="G98" s="346"/>
      <c r="H98" s="298"/>
      <c r="I98" s="298" t="s">
        <v>126</v>
      </c>
      <c r="J98" s="298"/>
      <c r="K98" s="298"/>
      <c r="L98" s="298"/>
      <c r="M98" s="298"/>
      <c r="N98" s="298"/>
      <c r="O98" s="298"/>
      <c r="P98" s="298"/>
    </row>
    <row r="99" spans="1:16" x14ac:dyDescent="0.15">
      <c r="A99" s="18" t="s">
        <v>127</v>
      </c>
      <c r="B99" s="19">
        <f t="shared" ref="B99:G99" si="17">B88</f>
        <v>3755.1000000000004</v>
      </c>
      <c r="C99" s="19">
        <f t="shared" si="17"/>
        <v>3567.6</v>
      </c>
      <c r="D99" s="19">
        <f t="shared" si="17"/>
        <v>4602.1999999999989</v>
      </c>
      <c r="E99" s="19">
        <f t="shared" si="17"/>
        <v>5712.5999999999985</v>
      </c>
      <c r="F99" s="19">
        <f t="shared" si="17"/>
        <v>6190.4999999999973</v>
      </c>
      <c r="G99" s="19">
        <f t="shared" si="17"/>
        <v>6416.5000000000009</v>
      </c>
      <c r="H99" s="298"/>
      <c r="I99" s="298" t="s">
        <v>128</v>
      </c>
      <c r="J99" s="298"/>
      <c r="K99" s="298"/>
      <c r="L99" s="298"/>
      <c r="M99" s="298"/>
      <c r="N99" s="298"/>
      <c r="O99" s="298"/>
      <c r="P99" s="298"/>
    </row>
    <row r="100" spans="1:16" x14ac:dyDescent="0.15">
      <c r="A100" s="298" t="s">
        <v>129</v>
      </c>
      <c r="B100" s="319">
        <v>1958.3</v>
      </c>
      <c r="C100" s="319">
        <v>2028.1</v>
      </c>
      <c r="D100" s="319">
        <v>1781</v>
      </c>
      <c r="E100" s="319">
        <v>1536.1</v>
      </c>
      <c r="F100" s="319">
        <v>1715</v>
      </c>
      <c r="G100" s="319">
        <v>1855.3</v>
      </c>
      <c r="H100" s="298"/>
      <c r="I100" s="298"/>
      <c r="J100" s="298"/>
      <c r="K100" s="298"/>
      <c r="L100" s="298"/>
      <c r="M100" s="298"/>
      <c r="N100" s="298"/>
      <c r="O100" s="298"/>
      <c r="P100" s="298"/>
    </row>
    <row r="101" spans="1:16" x14ac:dyDescent="0.15">
      <c r="A101" s="298" t="s">
        <v>130</v>
      </c>
      <c r="B101" s="319">
        <v>144.4</v>
      </c>
      <c r="C101" s="319">
        <v>129.69999999999999</v>
      </c>
      <c r="D101" s="319">
        <v>155.19999999999999</v>
      </c>
      <c r="E101" s="319">
        <v>169</v>
      </c>
      <c r="F101" s="319">
        <v>168.5</v>
      </c>
      <c r="G101" s="319">
        <v>239.1</v>
      </c>
      <c r="H101" s="298"/>
      <c r="I101" s="298"/>
      <c r="J101" s="298"/>
      <c r="K101" s="298"/>
      <c r="L101" s="298"/>
      <c r="M101" s="298"/>
      <c r="N101" s="298"/>
      <c r="O101" s="298"/>
      <c r="P101" s="298"/>
    </row>
    <row r="102" spans="1:16" x14ac:dyDescent="0.15">
      <c r="A102" s="298" t="s">
        <v>131</v>
      </c>
      <c r="B102" s="319">
        <v>-42.5</v>
      </c>
      <c r="C102" s="319">
        <v>-10.1</v>
      </c>
      <c r="D102" s="319">
        <v>83.6</v>
      </c>
      <c r="E102" s="319">
        <v>-96.5</v>
      </c>
      <c r="F102" s="319">
        <v>-95.3</v>
      </c>
      <c r="G102" s="319">
        <v>-37.4</v>
      </c>
      <c r="H102" s="298"/>
      <c r="I102" s="298"/>
      <c r="J102" s="298"/>
      <c r="K102" s="350"/>
      <c r="L102" s="350"/>
      <c r="M102" s="350"/>
      <c r="N102" s="350"/>
      <c r="O102" s="350"/>
      <c r="P102" s="350"/>
    </row>
    <row r="103" spans="1:16" x14ac:dyDescent="0.15">
      <c r="A103" s="298" t="s">
        <v>132</v>
      </c>
      <c r="B103" s="15"/>
      <c r="C103" s="15"/>
      <c r="D103" s="15"/>
      <c r="E103" s="15"/>
      <c r="F103" s="15"/>
      <c r="G103" s="15"/>
      <c r="H103" s="298"/>
      <c r="I103" s="298"/>
      <c r="J103" s="298"/>
      <c r="K103" s="298"/>
      <c r="L103" s="298"/>
      <c r="M103" s="298"/>
      <c r="N103" s="298"/>
      <c r="O103" s="298"/>
      <c r="P103" s="298"/>
    </row>
    <row r="104" spans="1:16" x14ac:dyDescent="0.15">
      <c r="A104" s="298" t="s">
        <v>133</v>
      </c>
      <c r="B104" s="15"/>
      <c r="C104" s="15"/>
      <c r="D104" s="15"/>
      <c r="E104" s="15"/>
      <c r="F104" s="15"/>
      <c r="G104" s="15"/>
      <c r="H104" s="298"/>
      <c r="I104" s="298"/>
      <c r="J104" s="348"/>
      <c r="K104" s="348"/>
      <c r="L104" s="348"/>
      <c r="M104" s="298"/>
      <c r="N104" s="298"/>
      <c r="O104" s="298"/>
      <c r="P104" s="298"/>
    </row>
    <row r="105" spans="1:16" x14ac:dyDescent="0.15">
      <c r="A105" s="298" t="s">
        <v>134</v>
      </c>
      <c r="B105" s="15"/>
      <c r="C105" s="15"/>
      <c r="D105" s="15"/>
      <c r="E105" s="15"/>
      <c r="F105" s="15"/>
      <c r="G105" s="15"/>
      <c r="H105" s="298"/>
      <c r="I105" s="298"/>
      <c r="J105" s="298"/>
      <c r="K105" s="298"/>
      <c r="L105" s="350"/>
      <c r="M105" s="298"/>
      <c r="N105" s="298"/>
      <c r="O105" s="298"/>
      <c r="P105" s="298"/>
    </row>
    <row r="106" spans="1:16" x14ac:dyDescent="0.15">
      <c r="A106" s="298" t="s">
        <v>135</v>
      </c>
      <c r="B106" s="15"/>
      <c r="C106" s="15"/>
      <c r="D106" s="15"/>
      <c r="E106" s="15"/>
      <c r="F106" s="15"/>
      <c r="G106" s="15"/>
      <c r="H106" s="298"/>
      <c r="I106" s="298"/>
      <c r="J106" s="298"/>
      <c r="K106" s="298"/>
      <c r="L106" s="298"/>
      <c r="M106" s="298"/>
      <c r="N106" s="298"/>
      <c r="O106" s="298"/>
      <c r="P106" s="298"/>
    </row>
    <row r="107" spans="1:16" x14ac:dyDescent="0.15">
      <c r="A107" s="298" t="s">
        <v>136</v>
      </c>
      <c r="B107" s="15"/>
      <c r="C107" s="15"/>
      <c r="D107" s="15"/>
      <c r="E107" s="15"/>
      <c r="F107" s="15"/>
      <c r="G107" s="15"/>
      <c r="H107" s="298"/>
      <c r="I107" s="298"/>
      <c r="J107" s="298"/>
      <c r="K107" s="298"/>
      <c r="L107" s="298"/>
      <c r="M107" s="298"/>
      <c r="N107" s="298"/>
      <c r="O107" s="298"/>
      <c r="P107" s="298"/>
    </row>
    <row r="108" spans="1:16" x14ac:dyDescent="0.15">
      <c r="A108" s="298" t="s">
        <v>137</v>
      </c>
      <c r="B108" s="15"/>
      <c r="C108" s="15"/>
      <c r="D108" s="15"/>
      <c r="E108" s="15"/>
      <c r="F108" s="15"/>
      <c r="G108" s="15"/>
      <c r="H108" s="298"/>
      <c r="I108" s="298"/>
      <c r="J108" s="298"/>
      <c r="K108" s="298"/>
      <c r="L108" s="298"/>
      <c r="M108" s="298"/>
      <c r="N108" s="298"/>
      <c r="O108" s="298"/>
      <c r="P108" s="298"/>
    </row>
    <row r="109" spans="1:16" x14ac:dyDescent="0.15">
      <c r="A109" s="298" t="s">
        <v>138</v>
      </c>
      <c r="B109" s="15"/>
      <c r="C109" s="15"/>
      <c r="D109" s="15"/>
      <c r="E109" s="15"/>
      <c r="F109" s="15"/>
      <c r="G109" s="15"/>
      <c r="H109" s="298"/>
      <c r="I109" s="298"/>
      <c r="J109" s="298"/>
      <c r="K109" s="298"/>
      <c r="L109" s="298"/>
      <c r="M109" s="298"/>
      <c r="N109" s="298"/>
      <c r="O109" s="298"/>
      <c r="P109" s="298"/>
    </row>
    <row r="110" spans="1:16" x14ac:dyDescent="0.15">
      <c r="A110" s="298" t="s">
        <v>139</v>
      </c>
      <c r="B110" s="15"/>
      <c r="C110" s="15"/>
      <c r="D110" s="15"/>
      <c r="E110" s="15"/>
      <c r="F110" s="15"/>
      <c r="G110" s="15"/>
      <c r="H110" s="298"/>
      <c r="I110" s="298"/>
      <c r="J110" s="298"/>
      <c r="K110" s="298"/>
      <c r="L110" s="298"/>
      <c r="M110" s="298"/>
      <c r="N110" s="298"/>
      <c r="O110" s="298"/>
      <c r="P110" s="298"/>
    </row>
    <row r="111" spans="1:16" x14ac:dyDescent="0.15">
      <c r="A111" s="298" t="s">
        <v>140</v>
      </c>
      <c r="B111" s="15"/>
      <c r="C111" s="15"/>
      <c r="D111" s="15"/>
      <c r="E111" s="15"/>
      <c r="F111" s="15"/>
      <c r="G111" s="15"/>
      <c r="H111" s="298"/>
      <c r="I111" s="298"/>
      <c r="J111" s="298"/>
      <c r="K111" s="298"/>
      <c r="L111" s="298"/>
      <c r="M111" s="298"/>
      <c r="N111" s="298"/>
      <c r="O111" s="298"/>
      <c r="P111" s="298"/>
    </row>
    <row r="112" spans="1:16" x14ac:dyDescent="0.15">
      <c r="A112" s="298" t="s">
        <v>141</v>
      </c>
      <c r="B112" s="15"/>
      <c r="C112" s="15"/>
      <c r="D112" s="15"/>
      <c r="E112" s="15"/>
      <c r="F112" s="15"/>
      <c r="G112" s="15"/>
      <c r="H112" s="298"/>
      <c r="I112" s="298"/>
      <c r="J112" s="298"/>
      <c r="K112" s="298"/>
      <c r="L112" s="298"/>
      <c r="M112" s="298"/>
      <c r="N112" s="298"/>
      <c r="O112" s="298"/>
      <c r="P112" s="298"/>
    </row>
    <row r="113" spans="1:15" x14ac:dyDescent="0.15">
      <c r="A113" s="298" t="s">
        <v>142</v>
      </c>
      <c r="B113" s="319">
        <f>-14+1.9-1</f>
        <v>-13.1</v>
      </c>
      <c r="C113" s="319">
        <f>3.6+5.8-0.6</f>
        <v>8.8000000000000007</v>
      </c>
      <c r="D113" s="319">
        <f>0.5+16.5+1.3</f>
        <v>18.3</v>
      </c>
      <c r="E113" s="319">
        <f>7.6-0.5-38.7</f>
        <v>-31.6</v>
      </c>
      <c r="F113" s="319">
        <f>6.9+14.1-0.2</f>
        <v>20.8</v>
      </c>
      <c r="G113" s="319">
        <f>15.2+21.1+2.9</f>
        <v>39.199999999999996</v>
      </c>
      <c r="H113" s="298"/>
      <c r="I113" s="298"/>
      <c r="J113" s="298"/>
      <c r="K113" s="298"/>
      <c r="L113" s="298"/>
      <c r="M113" s="298"/>
      <c r="N113" s="298"/>
      <c r="O113" s="298"/>
    </row>
    <row r="114" spans="1:15" x14ac:dyDescent="0.15">
      <c r="A114" s="298" t="s">
        <v>143</v>
      </c>
      <c r="B114" s="319">
        <v>460.5</v>
      </c>
      <c r="C114" s="319">
        <v>729.2</v>
      </c>
      <c r="D114" s="319">
        <v>88</v>
      </c>
      <c r="E114" s="319">
        <v>-1011.3</v>
      </c>
      <c r="F114" s="319">
        <v>-394.9</v>
      </c>
      <c r="G114" s="319">
        <v>-226.6</v>
      </c>
      <c r="H114" s="298"/>
      <c r="I114" s="298"/>
      <c r="J114" s="298"/>
      <c r="K114" s="298"/>
      <c r="L114" s="298"/>
      <c r="M114" s="298"/>
      <c r="N114" s="298"/>
      <c r="O114" s="298"/>
    </row>
    <row r="115" spans="1:15" x14ac:dyDescent="0.15">
      <c r="A115" s="18" t="s">
        <v>144</v>
      </c>
      <c r="B115" s="19">
        <f t="shared" ref="B115:G115" si="18">SUM(B99:B114)</f>
        <v>6262.7</v>
      </c>
      <c r="C115" s="19">
        <f t="shared" si="18"/>
        <v>6453.2999999999993</v>
      </c>
      <c r="D115" s="19">
        <f t="shared" si="18"/>
        <v>6728.2999999999993</v>
      </c>
      <c r="E115" s="19">
        <f t="shared" si="18"/>
        <v>6278.2999999999984</v>
      </c>
      <c r="F115" s="19">
        <f>SUM(F99:F114)</f>
        <v>7604.5999999999976</v>
      </c>
      <c r="G115" s="19">
        <f t="shared" si="18"/>
        <v>8286.1000000000022</v>
      </c>
      <c r="H115" s="298"/>
      <c r="I115" s="298" t="s">
        <v>145</v>
      </c>
      <c r="J115" s="298"/>
      <c r="K115" s="298"/>
      <c r="L115" s="298"/>
      <c r="M115" s="298"/>
      <c r="N115" s="298"/>
      <c r="O115" s="298"/>
    </row>
    <row r="116" spans="1:15" x14ac:dyDescent="0.15">
      <c r="A116" s="298" t="s">
        <v>146</v>
      </c>
      <c r="B116" s="319">
        <v>-1231</v>
      </c>
      <c r="C116" s="319">
        <v>-972.4</v>
      </c>
      <c r="D116" s="319">
        <v>-1075.2</v>
      </c>
      <c r="E116" s="319">
        <v>-1343.2</v>
      </c>
      <c r="F116" s="319">
        <v>-1488.7</v>
      </c>
      <c r="G116" s="319">
        <v>-1641.7</v>
      </c>
      <c r="H116" s="298"/>
      <c r="I116" s="298"/>
      <c r="J116" s="298"/>
      <c r="K116" s="298"/>
      <c r="L116" s="298"/>
      <c r="M116" s="298"/>
      <c r="N116" s="298"/>
      <c r="O116" s="298"/>
    </row>
    <row r="117" spans="1:15" x14ac:dyDescent="0.15">
      <c r="A117" s="298" t="s">
        <v>147</v>
      </c>
      <c r="B117" s="319">
        <v>16.600000000000001</v>
      </c>
      <c r="C117" s="319">
        <v>26.6</v>
      </c>
      <c r="D117" s="319">
        <v>14.5</v>
      </c>
      <c r="E117" s="319">
        <v>9.1999999999999993</v>
      </c>
      <c r="F117" s="319">
        <v>12.8</v>
      </c>
      <c r="G117" s="319">
        <v>13.6</v>
      </c>
      <c r="H117" s="298"/>
      <c r="I117" s="298"/>
      <c r="J117" s="298"/>
      <c r="K117" s="298"/>
      <c r="L117" s="298"/>
      <c r="M117" s="298"/>
      <c r="N117" s="298"/>
      <c r="O117" s="298"/>
    </row>
    <row r="118" spans="1:15" x14ac:dyDescent="0.15">
      <c r="A118" s="298" t="s">
        <v>148</v>
      </c>
      <c r="B118" s="319">
        <v>-65.900000000000006</v>
      </c>
      <c r="C118" s="319">
        <v>-66.5</v>
      </c>
      <c r="D118" s="319">
        <v>-117.3</v>
      </c>
      <c r="E118" s="319">
        <v>-142.80000000000001</v>
      </c>
      <c r="F118" s="319">
        <v>-170.7</v>
      </c>
      <c r="G118" s="319">
        <v>-1927</v>
      </c>
      <c r="H118" s="298"/>
      <c r="I118" s="298"/>
      <c r="J118" s="298"/>
      <c r="K118" s="298"/>
      <c r="L118" s="298"/>
      <c r="M118" s="298"/>
      <c r="N118" s="298"/>
      <c r="O118" s="298"/>
    </row>
    <row r="119" spans="1:15" x14ac:dyDescent="0.15">
      <c r="A119" s="298" t="s">
        <v>149</v>
      </c>
      <c r="B119" s="15"/>
      <c r="C119" s="15"/>
      <c r="D119" s="15"/>
      <c r="E119" s="15"/>
      <c r="F119" s="15"/>
      <c r="G119" s="15"/>
      <c r="H119" s="298"/>
      <c r="I119" s="298"/>
      <c r="J119" s="298"/>
      <c r="K119" s="298"/>
      <c r="L119" s="298"/>
      <c r="M119" s="298"/>
      <c r="N119" s="298"/>
      <c r="O119" s="298"/>
    </row>
    <row r="120" spans="1:15" x14ac:dyDescent="0.15">
      <c r="A120" s="298" t="s">
        <v>150</v>
      </c>
      <c r="B120" s="15"/>
      <c r="C120" s="15"/>
      <c r="D120" s="15"/>
      <c r="E120" s="15"/>
      <c r="F120" s="15"/>
      <c r="G120" s="15"/>
      <c r="H120" s="298"/>
      <c r="I120" s="298"/>
      <c r="J120" s="298"/>
      <c r="K120" s="298"/>
      <c r="L120" s="298"/>
      <c r="M120" s="298"/>
      <c r="N120" s="298"/>
      <c r="O120" s="298"/>
    </row>
    <row r="121" spans="1:15" x14ac:dyDescent="0.15">
      <c r="A121" s="298" t="s">
        <v>151</v>
      </c>
      <c r="B121" s="15"/>
      <c r="C121" s="15"/>
      <c r="D121" s="15"/>
      <c r="E121" s="15"/>
      <c r="F121" s="15"/>
      <c r="G121" s="15"/>
      <c r="H121" s="298"/>
      <c r="I121" s="298"/>
      <c r="J121" s="298"/>
      <c r="K121" s="298"/>
      <c r="L121" s="298"/>
      <c r="M121" s="298"/>
      <c r="N121" s="298"/>
      <c r="O121" s="298"/>
    </row>
    <row r="122" spans="1:15" x14ac:dyDescent="0.15">
      <c r="A122" s="298" t="s">
        <v>152</v>
      </c>
      <c r="B122" s="319">
        <v>-9.3000000000000007</v>
      </c>
      <c r="C122" s="319">
        <f>-1626.8</f>
        <v>-1626.8</v>
      </c>
      <c r="D122" s="319">
        <v>-455.7</v>
      </c>
      <c r="E122" s="319">
        <v>-746.9</v>
      </c>
      <c r="F122" s="319">
        <v>-2497.1999999999998</v>
      </c>
      <c r="G122" s="319">
        <v>-148.9</v>
      </c>
      <c r="H122" s="298"/>
      <c r="I122" s="298"/>
      <c r="J122" s="298"/>
      <c r="K122" s="298"/>
      <c r="L122" s="298"/>
      <c r="M122" s="298"/>
      <c r="N122" s="298"/>
      <c r="O122" s="298"/>
    </row>
    <row r="123" spans="1:15" x14ac:dyDescent="0.15">
      <c r="A123" s="18" t="s">
        <v>153</v>
      </c>
      <c r="B123" s="19">
        <f t="shared" ref="B123:G123" si="19">SUM(B116:B122)</f>
        <v>-1289.6000000000001</v>
      </c>
      <c r="C123" s="19">
        <f t="shared" si="19"/>
        <v>-2639.1</v>
      </c>
      <c r="D123" s="19">
        <f t="shared" si="19"/>
        <v>-1633.7</v>
      </c>
      <c r="E123" s="19">
        <f t="shared" si="19"/>
        <v>-2223.6999999999998</v>
      </c>
      <c r="F123" s="19">
        <f t="shared" si="19"/>
        <v>-4143.8</v>
      </c>
      <c r="G123" s="19">
        <f t="shared" si="19"/>
        <v>-3704.0000000000005</v>
      </c>
      <c r="H123" s="298"/>
      <c r="I123" s="298" t="s">
        <v>154</v>
      </c>
      <c r="J123" s="298"/>
      <c r="K123" s="298"/>
      <c r="L123" s="298"/>
      <c r="M123" s="298"/>
      <c r="N123" s="298"/>
      <c r="O123" s="298"/>
    </row>
    <row r="124" spans="1:15" x14ac:dyDescent="0.15">
      <c r="A124" s="298" t="s">
        <v>155</v>
      </c>
      <c r="B124" s="319">
        <v>-354.9</v>
      </c>
      <c r="C124" s="319">
        <v>-74.8</v>
      </c>
      <c r="D124" s="319">
        <v>3939.4</v>
      </c>
      <c r="E124" s="319">
        <v>-3563.8</v>
      </c>
      <c r="F124" s="319">
        <v>-823.7</v>
      </c>
      <c r="G124" s="319">
        <v>-1775.9</v>
      </c>
      <c r="H124" s="298"/>
      <c r="I124" s="298"/>
      <c r="J124" s="298"/>
      <c r="K124" s="298"/>
      <c r="L124" s="298"/>
      <c r="M124" s="298"/>
      <c r="N124" s="298"/>
      <c r="O124" s="298"/>
    </row>
    <row r="125" spans="1:15" x14ac:dyDescent="0.15">
      <c r="A125" s="298" t="s">
        <v>156</v>
      </c>
      <c r="B125" s="319">
        <v>-0.6</v>
      </c>
      <c r="C125" s="319">
        <v>-3.6</v>
      </c>
      <c r="D125" s="319">
        <v>0</v>
      </c>
      <c r="E125" s="319">
        <v>3019.9</v>
      </c>
      <c r="F125" s="319">
        <v>3567.1</v>
      </c>
      <c r="G125" s="319">
        <v>1521.4</v>
      </c>
      <c r="H125" s="298"/>
      <c r="I125" s="298"/>
      <c r="J125" s="298"/>
      <c r="K125" s="298"/>
      <c r="L125" s="298"/>
      <c r="M125" s="298"/>
      <c r="N125" s="298"/>
      <c r="O125" s="298"/>
    </row>
    <row r="126" spans="1:15" x14ac:dyDescent="0.15">
      <c r="A126" s="298" t="s">
        <v>157</v>
      </c>
      <c r="B126" s="15"/>
      <c r="C126" s="15"/>
      <c r="D126" s="15"/>
      <c r="E126" s="15"/>
      <c r="F126" s="15"/>
      <c r="G126" s="15"/>
      <c r="H126" s="298"/>
      <c r="I126" s="298"/>
      <c r="J126" s="298"/>
      <c r="K126" s="298"/>
      <c r="L126" s="298"/>
      <c r="M126" s="298"/>
      <c r="N126" s="298"/>
      <c r="O126" s="298"/>
    </row>
    <row r="127" spans="1:15" x14ac:dyDescent="0.15">
      <c r="A127" s="298" t="s">
        <v>158</v>
      </c>
      <c r="B127" s="15"/>
      <c r="C127" s="15"/>
      <c r="D127" s="15"/>
      <c r="E127" s="15"/>
      <c r="F127" s="15"/>
      <c r="G127" s="15"/>
      <c r="H127" s="298"/>
      <c r="I127" s="350"/>
      <c r="J127" s="350"/>
      <c r="K127" s="350"/>
      <c r="L127" s="298"/>
      <c r="M127" s="298"/>
      <c r="N127" s="298"/>
      <c r="O127" s="298"/>
    </row>
    <row r="128" spans="1:15" x14ac:dyDescent="0.15">
      <c r="A128" s="298" t="s">
        <v>159</v>
      </c>
      <c r="B128" s="319">
        <v>-747.3</v>
      </c>
      <c r="C128" s="319">
        <v>0</v>
      </c>
      <c r="D128" s="319">
        <v>-10060.9</v>
      </c>
      <c r="E128" s="319">
        <v>-502.3</v>
      </c>
      <c r="F128" s="319">
        <v>-503.3</v>
      </c>
      <c r="G128" s="319">
        <f>-497.5-13.9</f>
        <v>-511.4</v>
      </c>
      <c r="H128" s="298"/>
      <c r="I128" s="350"/>
      <c r="J128" s="350"/>
      <c r="K128" s="350"/>
      <c r="L128" s="350"/>
      <c r="M128" s="350"/>
      <c r="N128" s="350"/>
      <c r="O128" s="350"/>
    </row>
    <row r="129" spans="1:15" x14ac:dyDescent="0.15">
      <c r="A129" s="298" t="s">
        <v>160</v>
      </c>
      <c r="B129" s="319">
        <v>-2221.1</v>
      </c>
      <c r="C129" s="319">
        <v>-2190.6</v>
      </c>
      <c r="D129" s="319">
        <v>-2352.1</v>
      </c>
      <c r="E129" s="319">
        <v>-2689.9</v>
      </c>
      <c r="F129" s="319">
        <v>-3425.6</v>
      </c>
      <c r="G129" s="319">
        <v>-3614.9</v>
      </c>
      <c r="H129" s="298"/>
      <c r="I129" s="350"/>
      <c r="J129" s="350"/>
      <c r="K129" s="350"/>
      <c r="L129" s="350"/>
      <c r="M129" s="350"/>
      <c r="N129" s="350"/>
      <c r="O129" s="350"/>
    </row>
    <row r="130" spans="1:15" x14ac:dyDescent="0.15">
      <c r="A130" s="298" t="s">
        <v>161</v>
      </c>
      <c r="B130" s="319">
        <v>-425.8</v>
      </c>
      <c r="C130" s="319">
        <v>-451.8</v>
      </c>
      <c r="D130" s="319">
        <v>-396.4</v>
      </c>
      <c r="E130" s="319">
        <v>-446.9</v>
      </c>
      <c r="F130" s="319">
        <v>-430.6</v>
      </c>
      <c r="G130" s="319">
        <v>-474.3</v>
      </c>
      <c r="H130" s="298"/>
      <c r="I130" s="350"/>
      <c r="J130" s="350"/>
      <c r="K130" s="350"/>
      <c r="L130" s="350"/>
      <c r="M130" s="350"/>
      <c r="N130" s="350"/>
      <c r="O130" s="350"/>
    </row>
    <row r="131" spans="1:15" x14ac:dyDescent="0.15">
      <c r="A131" s="298" t="s">
        <v>162</v>
      </c>
      <c r="B131" s="319">
        <v>60</v>
      </c>
      <c r="C131" s="319">
        <v>129.69999999999999</v>
      </c>
      <c r="D131" s="319">
        <v>5.8</v>
      </c>
      <c r="E131" s="319">
        <v>103.2</v>
      </c>
      <c r="F131" s="319">
        <v>1.5</v>
      </c>
      <c r="G131" s="319">
        <v>70</v>
      </c>
      <c r="H131" s="298"/>
      <c r="I131" s="298"/>
      <c r="J131" s="298"/>
      <c r="K131" s="298"/>
      <c r="L131" s="298"/>
      <c r="M131" s="298"/>
      <c r="N131" s="298"/>
      <c r="O131" s="298"/>
    </row>
    <row r="132" spans="1:15" x14ac:dyDescent="0.15">
      <c r="A132" s="18" t="s">
        <v>163</v>
      </c>
      <c r="B132" s="19">
        <f t="shared" ref="B132:G132" si="20">SUM(B124:B131)</f>
        <v>-3689.7</v>
      </c>
      <c r="C132" s="19">
        <f t="shared" si="20"/>
        <v>-2591.1000000000004</v>
      </c>
      <c r="D132" s="19">
        <f t="shared" si="20"/>
        <v>-8864.2000000000007</v>
      </c>
      <c r="E132" s="19">
        <f t="shared" si="20"/>
        <v>-4079.8</v>
      </c>
      <c r="F132" s="19">
        <f t="shared" si="20"/>
        <v>-1614.6000000000004</v>
      </c>
      <c r="G132" s="19">
        <f t="shared" si="20"/>
        <v>-4785.1000000000004</v>
      </c>
      <c r="H132" s="298"/>
      <c r="I132" s="298" t="s">
        <v>164</v>
      </c>
      <c r="J132" s="298"/>
      <c r="K132" s="298"/>
      <c r="L132" s="298"/>
      <c r="M132" s="298"/>
      <c r="N132" s="298"/>
      <c r="O132" s="298"/>
    </row>
    <row r="133" spans="1:15" x14ac:dyDescent="0.15">
      <c r="A133" s="298" t="s">
        <v>165</v>
      </c>
      <c r="B133" s="319">
        <v>10.5</v>
      </c>
      <c r="C133" s="319">
        <v>-103.2</v>
      </c>
      <c r="D133" s="319">
        <v>77.400000000000006</v>
      </c>
      <c r="E133" s="319">
        <v>-70.7</v>
      </c>
      <c r="F133" s="319">
        <v>-175.9</v>
      </c>
      <c r="G133" s="319">
        <v>-32.799999999999997</v>
      </c>
      <c r="H133" s="298"/>
      <c r="I133" s="298"/>
      <c r="J133" s="298"/>
      <c r="K133" s="298"/>
      <c r="L133" s="298"/>
      <c r="M133" s="298"/>
      <c r="N133" s="298"/>
      <c r="O133" s="298"/>
    </row>
    <row r="134" spans="1:15" x14ac:dyDescent="0.15">
      <c r="A134" s="18" t="s">
        <v>166</v>
      </c>
      <c r="B134" s="19">
        <f t="shared" ref="B134:G134" si="21">B115+B123+B132+B133</f>
        <v>1293.8999999999996</v>
      </c>
      <c r="C134" s="19">
        <f t="shared" si="21"/>
        <v>1119.899999999999</v>
      </c>
      <c r="D134" s="19">
        <f t="shared" si="21"/>
        <v>-3692.2000000000012</v>
      </c>
      <c r="E134" s="19">
        <f t="shared" si="21"/>
        <v>-95.90000000000164</v>
      </c>
      <c r="F134" s="19">
        <f t="shared" si="21"/>
        <v>1670.299999999997</v>
      </c>
      <c r="G134" s="19">
        <f t="shared" si="21"/>
        <v>-235.79999999999819</v>
      </c>
      <c r="H134" s="298"/>
      <c r="I134" s="298" t="s">
        <v>167</v>
      </c>
      <c r="J134" s="298"/>
      <c r="K134" s="298"/>
      <c r="L134" s="298"/>
      <c r="M134" s="298"/>
      <c r="N134" s="298"/>
      <c r="O134" s="298"/>
    </row>
    <row r="135" spans="1:15" x14ac:dyDescent="0.15">
      <c r="A135" s="298" t="s">
        <v>168</v>
      </c>
      <c r="B135" s="325">
        <v>3992</v>
      </c>
      <c r="C135" s="326">
        <v>5286</v>
      </c>
      <c r="D135" s="326">
        <v>6405.9</v>
      </c>
      <c r="E135" s="326">
        <v>2713.8</v>
      </c>
      <c r="F135" s="326">
        <v>2617.6999999999998</v>
      </c>
      <c r="G135" s="325">
        <v>4288.1000000000004</v>
      </c>
      <c r="H135" s="298"/>
      <c r="I135" s="298"/>
      <c r="J135" s="298"/>
      <c r="K135" s="298"/>
      <c r="L135" s="298"/>
      <c r="M135" s="298"/>
      <c r="N135" s="298"/>
      <c r="O135" s="298"/>
    </row>
    <row r="136" spans="1:15" x14ac:dyDescent="0.15">
      <c r="A136" s="298" t="s">
        <v>169</v>
      </c>
      <c r="B136" s="326">
        <f>B134+B135</f>
        <v>5285.9</v>
      </c>
      <c r="C136" s="326">
        <f t="shared" ref="C136:G136" si="22">C134+C135</f>
        <v>6405.8999999999987</v>
      </c>
      <c r="D136" s="326">
        <f t="shared" si="22"/>
        <v>2713.6999999999985</v>
      </c>
      <c r="E136" s="326">
        <f t="shared" si="22"/>
        <v>2617.8999999999987</v>
      </c>
      <c r="F136" s="326">
        <f t="shared" si="22"/>
        <v>4287.9999999999964</v>
      </c>
      <c r="G136" s="326">
        <f t="shared" si="22"/>
        <v>4052.300000000002</v>
      </c>
      <c r="H136" s="298"/>
      <c r="I136" s="298"/>
      <c r="J136" s="298"/>
      <c r="K136" s="298"/>
      <c r="L136" s="298"/>
      <c r="M136" s="298"/>
      <c r="N136" s="298"/>
      <c r="O136" s="298"/>
    </row>
    <row r="137" spans="1:15" x14ac:dyDescent="0.15">
      <c r="A137" s="298"/>
      <c r="B137" s="346"/>
      <c r="C137" s="346"/>
      <c r="D137" s="346"/>
      <c r="E137" s="346"/>
      <c r="F137" s="346"/>
      <c r="G137" s="346"/>
      <c r="H137" s="298"/>
      <c r="I137" s="298"/>
      <c r="J137" s="298"/>
      <c r="K137" s="298"/>
      <c r="L137" s="298"/>
      <c r="M137" s="298"/>
      <c r="N137" s="298"/>
      <c r="O137" s="298"/>
    </row>
    <row r="138" spans="1:15" x14ac:dyDescent="0.15">
      <c r="A138" s="298"/>
      <c r="B138" s="355"/>
      <c r="C138" s="346"/>
      <c r="D138" s="346"/>
      <c r="E138" s="355"/>
      <c r="F138" s="355"/>
      <c r="G138" s="355"/>
      <c r="H138" s="298"/>
      <c r="I138" s="298"/>
      <c r="J138" s="298"/>
      <c r="K138" s="298"/>
      <c r="L138" s="298"/>
      <c r="M138" s="298"/>
      <c r="N138" s="298"/>
      <c r="O138" s="298"/>
    </row>
    <row r="139" spans="1:15" x14ac:dyDescent="0.15">
      <c r="A139" s="298"/>
      <c r="B139" s="298"/>
      <c r="C139" s="298"/>
      <c r="D139" s="298"/>
      <c r="E139" s="298"/>
      <c r="F139" s="298"/>
      <c r="G139" s="298"/>
      <c r="H139" s="298"/>
      <c r="I139" s="298"/>
      <c r="J139" s="298"/>
      <c r="K139" s="298"/>
      <c r="L139" s="298"/>
      <c r="M139" s="298"/>
      <c r="N139" s="298"/>
      <c r="O139" s="298"/>
    </row>
    <row r="140" spans="1:15" x14ac:dyDescent="0.15">
      <c r="A140" s="328" t="s">
        <v>170</v>
      </c>
      <c r="B140" s="329">
        <f t="shared" ref="B140:G140" si="23">B11</f>
        <v>2019</v>
      </c>
      <c r="C140" s="329">
        <f t="shared" si="23"/>
        <v>2020</v>
      </c>
      <c r="D140" s="329">
        <f t="shared" si="23"/>
        <v>2021</v>
      </c>
      <c r="E140" s="329">
        <f t="shared" si="23"/>
        <v>2022</v>
      </c>
      <c r="F140" s="329">
        <f t="shared" si="23"/>
        <v>2023</v>
      </c>
      <c r="G140" s="329">
        <f t="shared" si="23"/>
        <v>2024</v>
      </c>
      <c r="H140" s="298"/>
      <c r="I140" s="14" t="s">
        <v>171</v>
      </c>
      <c r="J140" s="298"/>
      <c r="K140" s="298"/>
      <c r="L140" s="298"/>
      <c r="M140" s="298"/>
      <c r="N140" s="298"/>
      <c r="O140" s="298"/>
    </row>
    <row r="141" spans="1:15" x14ac:dyDescent="0.15">
      <c r="A141" s="14"/>
      <c r="B141" s="21"/>
      <c r="C141" s="21"/>
      <c r="D141" s="21"/>
      <c r="E141" s="21"/>
      <c r="F141" s="21"/>
      <c r="G141" s="21"/>
      <c r="H141" s="298"/>
      <c r="I141" s="298"/>
      <c r="J141" s="298"/>
      <c r="K141" s="298"/>
      <c r="L141" s="298"/>
      <c r="M141" s="298"/>
      <c r="N141" s="298"/>
      <c r="O141" s="298"/>
    </row>
    <row r="142" spans="1:15" x14ac:dyDescent="0.15">
      <c r="A142" s="298" t="s">
        <v>172</v>
      </c>
      <c r="B142" s="23"/>
      <c r="C142" s="23"/>
      <c r="D142" s="23"/>
      <c r="E142" s="23"/>
      <c r="F142" s="23"/>
      <c r="G142" s="23"/>
      <c r="H142" s="298"/>
      <c r="I142" s="298" t="s">
        <v>173</v>
      </c>
      <c r="J142" s="298"/>
      <c r="K142" s="298"/>
      <c r="L142" s="298"/>
      <c r="M142" s="298"/>
      <c r="N142" s="298"/>
      <c r="O142" s="298"/>
    </row>
    <row r="143" spans="1:15" x14ac:dyDescent="0.15">
      <c r="A143" s="298" t="s">
        <v>174</v>
      </c>
      <c r="B143" s="24">
        <f>-B84/B83</f>
        <v>0.3062480365161791</v>
      </c>
      <c r="C143" s="24">
        <f t="shared" ref="C143:G143" si="24">-C84/C83</f>
        <v>0.25328169161519942</v>
      </c>
      <c r="D143" s="24">
        <f t="shared" si="24"/>
        <v>0.23902761700016545</v>
      </c>
      <c r="E143" s="24">
        <f t="shared" si="24"/>
        <v>0.24957296402386148</v>
      </c>
      <c r="F143" s="24">
        <f t="shared" si="24"/>
        <v>0.22629954130160362</v>
      </c>
      <c r="G143" s="24">
        <f t="shared" si="24"/>
        <v>0.23895694245158838</v>
      </c>
      <c r="H143" s="350"/>
      <c r="I143" s="298" t="s">
        <v>175</v>
      </c>
      <c r="J143" s="298"/>
      <c r="K143" s="298"/>
      <c r="L143" s="298"/>
      <c r="M143" s="298"/>
      <c r="N143" s="298"/>
      <c r="O143" s="298"/>
    </row>
    <row r="144" spans="1:15" ht="14" x14ac:dyDescent="0.15">
      <c r="A144" s="356" t="s">
        <v>176</v>
      </c>
      <c r="B144" s="25">
        <v>29.7</v>
      </c>
      <c r="C144" s="25">
        <v>20.7</v>
      </c>
      <c r="D144" s="25">
        <v>19.100000000000001</v>
      </c>
      <c r="E144" s="25">
        <v>71.2</v>
      </c>
      <c r="F144" s="25">
        <v>162.29999999999998</v>
      </c>
      <c r="G144" s="25">
        <v>147.39999999999998</v>
      </c>
      <c r="H144" s="298"/>
      <c r="I144" s="298" t="s">
        <v>177</v>
      </c>
      <c r="J144" s="298"/>
      <c r="K144" s="298"/>
      <c r="L144" s="298"/>
      <c r="M144" s="298"/>
      <c r="N144" s="298"/>
      <c r="O144" s="298"/>
    </row>
    <row r="145" spans="1:9" ht="14" x14ac:dyDescent="0.15">
      <c r="A145" s="356" t="s">
        <v>178</v>
      </c>
      <c r="B145" s="15">
        <v>6786.8</v>
      </c>
      <c r="C145" s="15">
        <v>6692.4</v>
      </c>
      <c r="D145" s="15">
        <v>6754.7</v>
      </c>
      <c r="E145" s="15">
        <v>6834.5</v>
      </c>
      <c r="F145" s="15">
        <v>7138.1</v>
      </c>
      <c r="G145" s="15">
        <v>7421.7</v>
      </c>
      <c r="H145" s="298"/>
      <c r="I145" s="298" t="s">
        <v>179</v>
      </c>
    </row>
    <row r="146" spans="1:9" x14ac:dyDescent="0.15">
      <c r="A146" s="298" t="s">
        <v>180</v>
      </c>
      <c r="B146" s="15">
        <v>0</v>
      </c>
      <c r="C146" s="15">
        <v>0</v>
      </c>
      <c r="D146" s="15">
        <v>0</v>
      </c>
      <c r="E146" s="15">
        <v>0</v>
      </c>
      <c r="F146" s="15">
        <v>0</v>
      </c>
      <c r="G146" s="15">
        <v>0</v>
      </c>
      <c r="H146" s="298"/>
      <c r="I146" s="298" t="s">
        <v>181</v>
      </c>
    </row>
    <row r="147" spans="1:9" x14ac:dyDescent="0.15">
      <c r="A147" s="298" t="s">
        <v>182</v>
      </c>
      <c r="B147" s="15">
        <v>558117205</v>
      </c>
      <c r="C147" s="15">
        <v>559871580</v>
      </c>
      <c r="D147" s="15">
        <v>535412360</v>
      </c>
      <c r="E147" s="15">
        <v>535186562</v>
      </c>
      <c r="F147" s="15">
        <v>534725475</v>
      </c>
      <c r="G147" s="15">
        <v>534312021</v>
      </c>
      <c r="H147" s="298"/>
      <c r="I147" s="298" t="s">
        <v>183</v>
      </c>
    </row>
    <row r="148" spans="1:9" x14ac:dyDescent="0.15">
      <c r="A148" s="298" t="s">
        <v>184</v>
      </c>
      <c r="B148" s="26">
        <v>6.7</v>
      </c>
      <c r="C148" s="26">
        <v>6.37</v>
      </c>
      <c r="D148" s="26">
        <v>8.24</v>
      </c>
      <c r="E148" s="26">
        <v>10.65</v>
      </c>
      <c r="F148" s="26">
        <v>11.55</v>
      </c>
      <c r="G148" s="26">
        <v>11.99</v>
      </c>
      <c r="H148" s="298"/>
      <c r="I148" s="298" t="s">
        <v>185</v>
      </c>
    </row>
    <row r="149" spans="1:9" x14ac:dyDescent="0.15">
      <c r="A149" s="298" t="s">
        <v>186</v>
      </c>
      <c r="B149" s="327">
        <v>3.9796300492116168E-6</v>
      </c>
      <c r="C149" s="327">
        <v>3.9126829763353945E-6</v>
      </c>
      <c r="D149" s="327">
        <v>4.3930625733033132E-6</v>
      </c>
      <c r="E149" s="327">
        <v>5.0260977965287553E-6</v>
      </c>
      <c r="F149" s="327">
        <v>6.4062779129795524E-6</v>
      </c>
      <c r="G149" s="327">
        <v>6.7655224998203813E-6</v>
      </c>
      <c r="H149" s="298"/>
      <c r="I149" s="298" t="s">
        <v>187</v>
      </c>
    </row>
    <row r="150" spans="1:9" x14ac:dyDescent="0.15">
      <c r="A150" s="298" t="s">
        <v>188</v>
      </c>
      <c r="B150" s="26">
        <v>264</v>
      </c>
      <c r="C150" s="26">
        <v>310.8</v>
      </c>
      <c r="D150" s="26">
        <v>416.95</v>
      </c>
      <c r="E150" s="26">
        <v>333.6</v>
      </c>
      <c r="F150" s="26">
        <v>450.65</v>
      </c>
      <c r="G150" s="26">
        <v>341.85</v>
      </c>
      <c r="H150" s="357"/>
      <c r="I150" s="298" t="s">
        <v>189</v>
      </c>
    </row>
    <row r="151" spans="1:9" x14ac:dyDescent="0.15">
      <c r="A151" s="298"/>
      <c r="B151" s="298"/>
      <c r="C151" s="298"/>
      <c r="D151" s="298"/>
      <c r="E151" s="298"/>
      <c r="F151" s="298"/>
      <c r="G151" s="298"/>
      <c r="H151" s="298"/>
      <c r="I151" s="298"/>
    </row>
    <row r="152" spans="1:9" x14ac:dyDescent="0.15">
      <c r="A152" s="298"/>
      <c r="B152" s="346"/>
      <c r="C152" s="346"/>
      <c r="D152" s="346"/>
      <c r="E152" s="354"/>
      <c r="F152" s="354"/>
      <c r="G152" s="354"/>
      <c r="H152" s="298"/>
      <c r="I152" s="298"/>
    </row>
    <row r="153" spans="1:9" x14ac:dyDescent="0.15">
      <c r="A153" s="27" t="s">
        <v>190</v>
      </c>
      <c r="B153" s="27"/>
      <c r="C153" s="358"/>
      <c r="D153" s="358"/>
      <c r="E153" s="358"/>
      <c r="F153" s="358"/>
      <c r="G153" s="358"/>
      <c r="H153" s="298"/>
      <c r="I153" s="298"/>
    </row>
    <row r="154" spans="1:9" x14ac:dyDescent="0.15">
      <c r="A154" s="358" t="s">
        <v>191</v>
      </c>
      <c r="B154" s="358">
        <f t="shared" ref="B154:G154" si="25">B33-B60</f>
        <v>-0.10000000001309672</v>
      </c>
      <c r="C154" s="358">
        <f t="shared" si="25"/>
        <v>9.9999999998544808E-2</v>
      </c>
      <c r="D154" s="358">
        <f t="shared" si="25"/>
        <v>-9.9999999998544808E-2</v>
      </c>
      <c r="E154" s="358">
        <f t="shared" si="25"/>
        <v>-0.39999999999417923</v>
      </c>
      <c r="F154" s="358">
        <f t="shared" si="25"/>
        <v>-0.40000000000873115</v>
      </c>
      <c r="G154" s="358">
        <f t="shared" si="25"/>
        <v>0</v>
      </c>
      <c r="H154" s="298"/>
      <c r="I154" s="298" t="s">
        <v>192</v>
      </c>
    </row>
    <row r="155" spans="1:9" x14ac:dyDescent="0.15">
      <c r="A155" s="358" t="s">
        <v>193</v>
      </c>
      <c r="B155" s="358">
        <f t="shared" ref="B155:G155" si="26">B90-B91</f>
        <v>0.3000000000001819</v>
      </c>
      <c r="C155" s="358">
        <f t="shared" si="26"/>
        <v>-0.20000000000027285</v>
      </c>
      <c r="D155" s="358">
        <f t="shared" si="26"/>
        <v>0.2999999999992724</v>
      </c>
      <c r="E155" s="358">
        <f t="shared" si="26"/>
        <v>-0.40000000000145519</v>
      </c>
      <c r="F155" s="358">
        <f t="shared" si="26"/>
        <v>0</v>
      </c>
      <c r="G155" s="358">
        <f t="shared" si="26"/>
        <v>0</v>
      </c>
      <c r="H155" s="298"/>
      <c r="I155" s="298" t="s">
        <v>194</v>
      </c>
    </row>
    <row r="156" spans="1:9" x14ac:dyDescent="0.15">
      <c r="A156" s="358" t="s">
        <v>195</v>
      </c>
      <c r="B156" s="358"/>
      <c r="C156" s="358">
        <v>0</v>
      </c>
      <c r="D156" s="358">
        <f>D134-(D16-C16)</f>
        <v>-0.10000000000172804</v>
      </c>
      <c r="E156" s="358">
        <f>E134-(E16-D16)</f>
        <v>0.19999999999872387</v>
      </c>
      <c r="F156" s="358">
        <f>F134-(F16-E16)</f>
        <v>-0.10000000000354703</v>
      </c>
      <c r="G156" s="358">
        <f>G134-(G16-F16)</f>
        <v>1.9895196601282805E-12</v>
      </c>
      <c r="H156" s="298"/>
      <c r="I156" s="298" t="s">
        <v>196</v>
      </c>
    </row>
    <row r="159" spans="1:9" x14ac:dyDescent="0.15">
      <c r="A159" s="298"/>
      <c r="B159" s="298"/>
      <c r="C159" s="298"/>
      <c r="D159" s="359"/>
      <c r="E159" s="359"/>
      <c r="F159" s="359"/>
      <c r="G159" s="359"/>
      <c r="H159" s="298"/>
      <c r="I159" s="298"/>
    </row>
    <row r="160" spans="1:9" x14ac:dyDescent="0.15">
      <c r="A160" s="298"/>
      <c r="B160" s="287"/>
      <c r="C160" s="287"/>
      <c r="D160" s="359"/>
      <c r="E160" s="359"/>
      <c r="F160" s="359"/>
      <c r="G160" s="359"/>
      <c r="H160" s="298"/>
      <c r="I160" s="298"/>
    </row>
    <row r="161" spans="4:7" x14ac:dyDescent="0.15">
      <c r="D161" s="359"/>
      <c r="E161" s="359"/>
      <c r="F161" s="359"/>
      <c r="G161" s="359"/>
    </row>
  </sheetData>
  <phoneticPr fontId="0" type="noConversion"/>
  <pageMargins left="0.75" right="0.75" top="1" bottom="1" header="0.5" footer="0.5"/>
  <pageSetup scale="83" orientation="portrait" r:id="rId1"/>
  <headerFooter alignWithMargins="0"/>
  <rowBreaks count="3" manualBreakCount="3">
    <brk id="60" max="6" man="1"/>
    <brk id="95" max="6" man="1"/>
    <brk id="138" max="6" man="1"/>
  </rowBreaks>
  <colBreaks count="1" manualBreakCount="1">
    <brk id="7"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00"/>
  <sheetViews>
    <sheetView topLeftCell="A8" zoomScale="125" zoomScaleNormal="90" workbookViewId="0">
      <selection activeCell="G187" sqref="G187"/>
    </sheetView>
  </sheetViews>
  <sheetFormatPr baseColWidth="10" defaultColWidth="9.1640625" defaultRowHeight="13" x14ac:dyDescent="0.15"/>
  <cols>
    <col min="1" max="1" width="40" style="7" customWidth="1"/>
    <col min="2" max="2" width="10.6640625" style="7" customWidth="1"/>
    <col min="3" max="3" width="45" style="7" bestFit="1" customWidth="1"/>
    <col min="4" max="4" width="19.83203125" style="7" bestFit="1" customWidth="1"/>
    <col min="5" max="5" width="16.83203125" style="7" customWidth="1"/>
    <col min="6" max="6" width="18" style="7" bestFit="1" customWidth="1"/>
    <col min="7" max="8" width="9.6640625" style="7" customWidth="1"/>
    <col min="9" max="9" width="10.6640625" style="7" customWidth="1"/>
    <col min="10" max="16384" width="9.1640625" style="7"/>
  </cols>
  <sheetData>
    <row r="1" spans="1:14" ht="12.75" customHeight="1" x14ac:dyDescent="0.15">
      <c r="A1" s="1" t="str">
        <f>Data!A1</f>
        <v>Financial Statement Analysis Package (FSAP): Version 10.0</v>
      </c>
      <c r="B1" s="2"/>
      <c r="C1" s="2"/>
      <c r="D1" s="2"/>
      <c r="E1" s="2"/>
      <c r="F1" s="3"/>
      <c r="G1" s="301"/>
      <c r="H1" s="301"/>
      <c r="I1" s="301"/>
      <c r="J1" s="334"/>
      <c r="K1" s="335"/>
      <c r="L1" s="335"/>
      <c r="M1" s="335"/>
      <c r="N1" s="336"/>
    </row>
    <row r="2" spans="1:14" ht="12.75" customHeight="1" x14ac:dyDescent="0.15">
      <c r="A2" s="5" t="str">
        <f>Data!A2</f>
        <v>Financial Reporting, Financial Statement Analysis, and Valuation: A Strategic Perspective, 10th Edition</v>
      </c>
      <c r="B2" s="338"/>
      <c r="C2" s="338"/>
      <c r="D2" s="338"/>
      <c r="E2" s="338"/>
      <c r="F2" s="339"/>
      <c r="G2" s="301"/>
      <c r="H2" s="301"/>
      <c r="I2" s="301"/>
      <c r="J2" s="5" t="s">
        <v>2</v>
      </c>
      <c r="K2" s="338"/>
      <c r="L2" s="338"/>
      <c r="M2" s="338"/>
      <c r="N2" s="339"/>
    </row>
    <row r="3" spans="1:14" ht="12.75" customHeight="1" thickBot="1" x14ac:dyDescent="0.2">
      <c r="A3" s="6" t="s">
        <v>3</v>
      </c>
      <c r="B3" s="340"/>
      <c r="C3" s="340"/>
      <c r="D3" s="340"/>
      <c r="E3" s="340"/>
      <c r="F3" s="341"/>
      <c r="G3" s="301"/>
      <c r="H3" s="301"/>
      <c r="I3" s="301"/>
      <c r="J3" s="360"/>
      <c r="K3" s="340"/>
      <c r="L3" s="340"/>
      <c r="M3" s="340"/>
      <c r="N3" s="341"/>
    </row>
    <row r="4" spans="1:14" ht="12.75" customHeight="1" x14ac:dyDescent="0.15">
      <c r="A4" s="361"/>
      <c r="B4" s="301"/>
      <c r="C4" s="301"/>
      <c r="D4" s="301"/>
      <c r="E4" s="301"/>
      <c r="F4" s="301"/>
      <c r="G4" s="301"/>
      <c r="H4" s="301"/>
      <c r="I4" s="301"/>
      <c r="J4" s="362"/>
      <c r="K4" s="362"/>
      <c r="L4" s="362"/>
      <c r="M4" s="362"/>
      <c r="N4" s="362"/>
    </row>
    <row r="5" spans="1:14" ht="12.75" customHeight="1" x14ac:dyDescent="0.15">
      <c r="A5" s="301"/>
      <c r="B5" s="301"/>
      <c r="C5" s="301"/>
      <c r="D5" s="301"/>
      <c r="E5" s="301"/>
      <c r="F5" s="301"/>
      <c r="G5" s="301"/>
      <c r="H5" s="301"/>
      <c r="I5" s="301"/>
      <c r="J5" s="301"/>
      <c r="K5" s="315"/>
      <c r="L5" s="315"/>
      <c r="M5" s="315"/>
      <c r="N5" s="315"/>
    </row>
    <row r="6" spans="1:14" ht="12.75" customHeight="1" x14ac:dyDescent="0.15">
      <c r="A6" s="8" t="s">
        <v>197</v>
      </c>
      <c r="B6" s="301"/>
      <c r="C6" s="301"/>
      <c r="D6" s="301"/>
      <c r="E6" s="301"/>
      <c r="F6" s="301"/>
      <c r="G6" s="301"/>
      <c r="H6" s="301"/>
      <c r="I6" s="301"/>
      <c r="J6" s="301" t="s">
        <v>198</v>
      </c>
      <c r="K6" s="315"/>
      <c r="L6" s="315"/>
      <c r="M6" s="315"/>
      <c r="N6" s="315"/>
    </row>
    <row r="7" spans="1:14" ht="12.75" customHeight="1" x14ac:dyDescent="0.15">
      <c r="A7" s="301"/>
      <c r="B7" s="301"/>
      <c r="C7" s="301"/>
      <c r="D7" s="301"/>
      <c r="E7" s="301"/>
      <c r="F7" s="301"/>
      <c r="G7" s="301"/>
      <c r="H7" s="301"/>
      <c r="I7" s="301"/>
      <c r="J7" s="301" t="s">
        <v>199</v>
      </c>
      <c r="K7" s="315"/>
      <c r="L7" s="315"/>
      <c r="M7" s="315"/>
      <c r="N7" s="315"/>
    </row>
    <row r="8" spans="1:14" ht="12.75" customHeight="1" thickBot="1" x14ac:dyDescent="0.2">
      <c r="A8" s="301"/>
      <c r="B8" s="301"/>
      <c r="C8" s="301"/>
      <c r="D8" s="301"/>
      <c r="E8" s="301"/>
      <c r="F8" s="301"/>
      <c r="G8" s="301"/>
      <c r="H8" s="301"/>
      <c r="I8" s="301"/>
      <c r="J8" s="301"/>
      <c r="K8" s="315"/>
      <c r="L8" s="315"/>
      <c r="M8" s="315"/>
      <c r="N8" s="315"/>
    </row>
    <row r="9" spans="1:14" ht="12.75" customHeight="1" x14ac:dyDescent="0.15">
      <c r="A9" s="28" t="str">
        <f>Data!A9</f>
        <v>Analyst Name:</v>
      </c>
      <c r="B9" s="29" t="str">
        <f>Data!B9</f>
        <v>Durdona Karimova &amp; Vincenzo Giordano</v>
      </c>
      <c r="C9" s="29"/>
      <c r="D9" s="29"/>
      <c r="E9" s="29"/>
      <c r="F9" s="30"/>
      <c r="G9" s="301"/>
      <c r="H9" s="301"/>
      <c r="I9" s="301"/>
      <c r="J9" s="315"/>
      <c r="K9" s="301"/>
      <c r="L9" s="301"/>
      <c r="M9" s="301"/>
      <c r="N9" s="301"/>
    </row>
    <row r="10" spans="1:14" ht="12.75" customHeight="1" thickBot="1" x14ac:dyDescent="0.2">
      <c r="A10" s="31" t="str">
        <f>Data!A10</f>
        <v>Company Name:</v>
      </c>
      <c r="B10" s="32" t="str">
        <f>Data!B10</f>
        <v>L'Oreal</v>
      </c>
      <c r="C10" s="363"/>
      <c r="D10" s="363"/>
      <c r="E10" s="363"/>
      <c r="F10" s="364"/>
      <c r="G10" s="301"/>
      <c r="H10" s="301"/>
      <c r="I10" s="301"/>
      <c r="J10" s="301"/>
      <c r="K10" s="301"/>
      <c r="L10" s="301"/>
      <c r="M10" s="301"/>
      <c r="N10" s="301"/>
    </row>
    <row r="11" spans="1:14" ht="12.75" customHeight="1" x14ac:dyDescent="0.15">
      <c r="A11" s="301"/>
      <c r="B11" s="301"/>
      <c r="C11" s="301"/>
      <c r="D11" s="301"/>
      <c r="E11" s="301"/>
      <c r="F11" s="301"/>
      <c r="G11" s="301"/>
      <c r="H11" s="301"/>
      <c r="I11" s="301"/>
      <c r="J11" s="301"/>
      <c r="K11" s="301"/>
      <c r="L11" s="301"/>
      <c r="M11" s="301"/>
      <c r="N11" s="301"/>
    </row>
    <row r="12" spans="1:14" ht="12.75" customHeight="1" x14ac:dyDescent="0.15">
      <c r="A12" s="365"/>
      <c r="B12" s="365"/>
      <c r="C12" s="365"/>
      <c r="D12" s="365"/>
      <c r="E12" s="365"/>
      <c r="F12" s="365"/>
      <c r="G12" s="301"/>
      <c r="H12" s="301"/>
      <c r="I12" s="301"/>
      <c r="J12" s="301"/>
      <c r="K12" s="301"/>
      <c r="L12" s="301"/>
      <c r="M12" s="301"/>
      <c r="N12" s="301"/>
    </row>
    <row r="13" spans="1:14" ht="12.75" customHeight="1" x14ac:dyDescent="0.15">
      <c r="A13" s="33" t="s">
        <v>200</v>
      </c>
      <c r="B13" s="299"/>
      <c r="C13" s="299"/>
      <c r="D13" s="299"/>
      <c r="E13" s="299"/>
      <c r="F13" s="366"/>
      <c r="G13" s="301"/>
      <c r="H13" s="301"/>
      <c r="I13" s="301"/>
      <c r="J13" s="301"/>
      <c r="K13" s="301"/>
      <c r="L13" s="301"/>
      <c r="M13" s="301"/>
      <c r="N13" s="301"/>
    </row>
    <row r="14" spans="1:14" ht="12.75" customHeight="1" x14ac:dyDescent="0.15">
      <c r="A14" s="367" t="str">
        <f>Data!A154</f>
        <v>Assets - Liabilities - Equities</v>
      </c>
      <c r="B14" s="367">
        <f>Data!C154</f>
        <v>9.9999999998544808E-2</v>
      </c>
      <c r="C14" s="367">
        <f>Data!D154</f>
        <v>-9.9999999998544808E-2</v>
      </c>
      <c r="D14" s="367">
        <f>Data!E154</f>
        <v>-0.39999999999417923</v>
      </c>
      <c r="E14" s="367">
        <f>Data!F154</f>
        <v>-0.40000000000873115</v>
      </c>
      <c r="F14" s="367">
        <f>Data!G154</f>
        <v>0</v>
      </c>
      <c r="G14" s="301"/>
      <c r="H14" s="301"/>
      <c r="I14" s="301"/>
      <c r="J14" s="315" t="s">
        <v>201</v>
      </c>
      <c r="K14" s="301"/>
      <c r="L14" s="301"/>
      <c r="M14" s="301"/>
      <c r="N14" s="301"/>
    </row>
    <row r="15" spans="1:14" ht="12.75" customHeight="1" x14ac:dyDescent="0.15">
      <c r="A15" s="368" t="str">
        <f>Data!A155</f>
        <v>Net Income (computed) - Net Income (reported)</v>
      </c>
      <c r="B15" s="367">
        <f>Data!C155</f>
        <v>-0.20000000000027285</v>
      </c>
      <c r="C15" s="367">
        <f>Data!D155</f>
        <v>0.2999999999992724</v>
      </c>
      <c r="D15" s="367">
        <f>Data!E155</f>
        <v>-0.40000000000145519</v>
      </c>
      <c r="E15" s="367">
        <f>Data!F155</f>
        <v>0</v>
      </c>
      <c r="F15" s="367">
        <f>Data!G155</f>
        <v>0</v>
      </c>
      <c r="G15" s="301"/>
      <c r="H15" s="301"/>
      <c r="I15" s="301"/>
      <c r="J15" s="315" t="s">
        <v>202</v>
      </c>
      <c r="K15" s="301"/>
      <c r="L15" s="301"/>
      <c r="M15" s="301"/>
      <c r="N15" s="301"/>
    </row>
    <row r="16" spans="1:14" ht="12.75" customHeight="1" thickBot="1" x14ac:dyDescent="0.2">
      <c r="A16" s="367" t="str">
        <f>Data!A156</f>
        <v>Cash Changes</v>
      </c>
      <c r="B16" s="367">
        <f>Data!C156</f>
        <v>0</v>
      </c>
      <c r="C16" s="367">
        <f>Data!D156</f>
        <v>-0.10000000000172804</v>
      </c>
      <c r="D16" s="367">
        <f>Data!E156</f>
        <v>0.19999999999872387</v>
      </c>
      <c r="E16" s="367">
        <f>Data!F156</f>
        <v>-0.10000000000354703</v>
      </c>
      <c r="F16" s="367">
        <f>Data!G156</f>
        <v>1.9895196601282805E-12</v>
      </c>
      <c r="G16" s="301"/>
      <c r="H16" s="301"/>
      <c r="I16" s="301"/>
      <c r="J16" s="315" t="s">
        <v>203</v>
      </c>
      <c r="K16" s="301"/>
      <c r="L16" s="301"/>
      <c r="M16" s="301"/>
      <c r="N16" s="301"/>
    </row>
    <row r="17" spans="1:10" ht="12.75" customHeight="1" thickBot="1" x14ac:dyDescent="0.2">
      <c r="A17" s="34" t="s">
        <v>204</v>
      </c>
      <c r="B17" s="369"/>
      <c r="C17" s="369"/>
      <c r="D17" s="369"/>
      <c r="E17" s="369"/>
      <c r="F17" s="370"/>
      <c r="G17" s="301"/>
      <c r="H17" s="301"/>
      <c r="I17" s="301"/>
      <c r="J17" s="301"/>
    </row>
    <row r="18" spans="1:10" ht="12.75" customHeight="1" x14ac:dyDescent="0.15">
      <c r="A18" s="371"/>
      <c r="B18" s="371"/>
      <c r="C18" s="371"/>
      <c r="D18" s="371"/>
      <c r="E18" s="371"/>
      <c r="F18" s="371"/>
      <c r="G18" s="301"/>
      <c r="H18" s="301"/>
      <c r="I18" s="301"/>
      <c r="J18" s="301"/>
    </row>
    <row r="19" spans="1:10" ht="12.75" customHeight="1" thickBot="1" x14ac:dyDescent="0.2">
      <c r="A19" s="35"/>
      <c r="B19" s="299"/>
      <c r="C19" s="299"/>
      <c r="D19" s="299"/>
      <c r="E19" s="299"/>
      <c r="F19" s="372"/>
      <c r="G19" s="301"/>
      <c r="H19" s="301"/>
      <c r="I19" s="301"/>
      <c r="J19" s="301"/>
    </row>
    <row r="20" spans="1:10" ht="12.75" customHeight="1" thickBot="1" x14ac:dyDescent="0.2">
      <c r="A20" s="36" t="s">
        <v>205</v>
      </c>
      <c r="B20" s="373"/>
      <c r="C20" s="373"/>
      <c r="D20" s="373"/>
      <c r="E20" s="373"/>
      <c r="F20" s="374"/>
      <c r="G20" s="301"/>
      <c r="H20" s="301"/>
      <c r="I20" s="301"/>
      <c r="J20" s="37" t="s">
        <v>206</v>
      </c>
    </row>
    <row r="21" spans="1:10" ht="12.75" customHeight="1" thickBot="1" x14ac:dyDescent="0.2">
      <c r="A21" s="38" t="s">
        <v>207</v>
      </c>
      <c r="B21" s="39">
        <f>Data!$C$11</f>
        <v>2020</v>
      </c>
      <c r="C21" s="39">
        <f>Data!$D$11</f>
        <v>2021</v>
      </c>
      <c r="D21" s="39">
        <f>Data!$E$11</f>
        <v>2022</v>
      </c>
      <c r="E21" s="39">
        <f>Data!$F$11</f>
        <v>2023</v>
      </c>
      <c r="F21" s="39">
        <f>Data!$G$11</f>
        <v>2024</v>
      </c>
      <c r="G21" s="301"/>
      <c r="H21" s="301"/>
      <c r="I21" s="301"/>
      <c r="J21" s="301"/>
    </row>
    <row r="22" spans="1:10" ht="12.75" customHeight="1" x14ac:dyDescent="0.15">
      <c r="A22" s="301"/>
      <c r="B22" s="299"/>
      <c r="C22" s="299"/>
      <c r="D22" s="299"/>
      <c r="E22" s="299"/>
      <c r="F22" s="375"/>
      <c r="G22" s="301"/>
      <c r="H22" s="301"/>
      <c r="I22" s="301"/>
      <c r="J22" s="301"/>
    </row>
    <row r="23" spans="1:10" ht="12.75" customHeight="1" x14ac:dyDescent="0.15">
      <c r="A23" s="35" t="s">
        <v>208</v>
      </c>
      <c r="B23" s="299"/>
      <c r="C23" s="299"/>
      <c r="D23" s="299"/>
      <c r="E23" s="299"/>
      <c r="F23" s="366"/>
      <c r="G23" s="301"/>
      <c r="H23" s="301"/>
      <c r="I23" s="301"/>
      <c r="J23" s="301" t="s">
        <v>209</v>
      </c>
    </row>
    <row r="24" spans="1:10" ht="12.75" customHeight="1" x14ac:dyDescent="0.15">
      <c r="A24" s="349" t="s">
        <v>210</v>
      </c>
      <c r="B24" s="41">
        <f>IF(ISERROR((Data!C88+(1-Data!C142)*(-Data!C79-Data!C80-Data!C81))/Data!C65),"",(Data!C88+(1-Data!C142)*(-Data!C79-Data!C80-Data!C81))/Data!C65)</f>
        <v>0.11827980037224789</v>
      </c>
      <c r="C24" s="41">
        <f>IF(ISERROR((Data!D88+(1-Data!D142)*(-Data!D79-Data!D80-Data!D81))/Data!D65),"",(Data!D88+(1-Data!D142)*(-Data!D79-Data!D80-Data!D81))/Data!D65)</f>
        <v>0.13324310261524544</v>
      </c>
      <c r="D24" s="41">
        <f>IF(ISERROR((Data!E88+(1-Data!E142)*(-Data!E79-Data!E80-Data!E81))/Data!E65),"",(Data!E88+(1-Data!E142)*(-Data!E79-Data!E80-Data!E81))/Data!E65)</f>
        <v>0.14080019654683928</v>
      </c>
      <c r="E24" s="41">
        <f>IF(ISERROR((Data!F88+(1-Data!F142)*(-Data!F79-Data!F80-Data!F81))/Data!F65),"",(Data!F88+(1-Data!F142)*(-Data!F79-Data!F80-Data!F81))/Data!F65)</f>
        <v>0.14678807746008615</v>
      </c>
      <c r="F24" s="41">
        <f>IF(ISERROR((Data!G88+(1-Data!G142)*(-Data!G79-Data!G80-Data!G81))/Data!G65),"",(Data!G88+(1-Data!G142)*(-Data!G79-Data!G80-Data!G81))/Data!G65)</f>
        <v>0.14675947643882745</v>
      </c>
      <c r="G24" s="301"/>
      <c r="H24" s="301"/>
      <c r="I24" s="301"/>
      <c r="J24" s="301" t="s">
        <v>211</v>
      </c>
    </row>
    <row r="25" spans="1:10" ht="12.75" customHeight="1" x14ac:dyDescent="0.15">
      <c r="A25" s="349" t="s">
        <v>212</v>
      </c>
      <c r="B25" s="42">
        <f>IF(ISERROR(Data!C65/((Data!B33+Data!C33)/2)),"",Data!C65/((Data!B33+Data!C33)/2))</f>
        <v>0.64042838447529538</v>
      </c>
      <c r="C25" s="42">
        <f>IF(ISERROR(Data!D65/((Data!C33+Data!D33)/2)),"",Data!D65/((Data!C33+Data!D33)/2))</f>
        <v>0.74549558130003868</v>
      </c>
      <c r="D25" s="42">
        <f>IF(ISERROR(Data!E65/((Data!D33+Data!E33)/2)),"",Data!E65/((Data!D33+Data!E33)/2))</f>
        <v>0.85158579213931418</v>
      </c>
      <c r="E25" s="42">
        <f>IF(ISERROR(Data!F65/((Data!E33+Data!F33)/2)),"",Data!F65/((Data!E33+Data!F33)/2))</f>
        <v>0.83450862624469613</v>
      </c>
      <c r="F25" s="42">
        <f>IF(ISERROR(Data!G65/((Data!F33+Data!G33)/2)),"",Data!G65/((Data!F33+Data!G33)/2))</f>
        <v>0.80376015170726123</v>
      </c>
      <c r="G25" s="301"/>
      <c r="H25" s="301"/>
      <c r="I25" s="301"/>
      <c r="J25" s="301" t="s">
        <v>213</v>
      </c>
    </row>
    <row r="26" spans="1:10" ht="12.75" customHeight="1" x14ac:dyDescent="0.15">
      <c r="A26" s="376" t="s">
        <v>214</v>
      </c>
      <c r="B26" s="41">
        <f>IF(ISERROR((Data!C88+(1-Data!C142)*(-Data!C79-Data!C80-Data!C81))/((Data!B33+Data!C33)/2)),"",(Data!C88+(1-Data!C142)*(-Data!C79-Data!C80-Data!C81))/((Data!B33+Data!C33)/2))</f>
        <v>7.574974146845917E-2</v>
      </c>
      <c r="C26" s="41">
        <f>IF(ISERROR((Data!D88+(1-Data!D142)*(-Data!D79-Data!D80-Data!D81))/((Data!C33+Data!D33)/2)),"",(Data!D88+(1-Data!D142)*(-Data!D79-Data!D80-Data!D81))/((Data!C33+Data!D33)/2))</f>
        <v>9.9332144238373096E-2</v>
      </c>
      <c r="D26" s="41">
        <f>IF(ISERROR((Data!E88+(1-Data!E142)*(-Data!E79-Data!E80-Data!E81))/((Data!D33+Data!E33)/2)),"",(Data!E88+(1-Data!E142)*(-Data!E79-Data!E80-Data!E81))/((Data!D33+Data!E33)/2))</f>
        <v>0.11990344690971125</v>
      </c>
      <c r="E26" s="41">
        <f>IF(ISERROR((Data!F88+(1-Data!F142)*(-Data!F79-Data!F80-Data!F81))/((Data!E33+Data!F33)/2)),"",(Data!F88+(1-Data!F142)*(-Data!F79-Data!F80-Data!F81))/((Data!E33+Data!F33)/2))</f>
        <v>0.12249591687031652</v>
      </c>
      <c r="F26" s="41">
        <f>IF(ISERROR((Data!G88+(1-Data!G142)*(-Data!G79-Data!G80-Data!G81))/((Data!F33+Data!G33)/2)),"",(Data!G88+(1-Data!G142)*(-Data!G79-Data!G80-Data!G81))/((Data!F33+Data!G33)/2))</f>
        <v>0.11795941904695018</v>
      </c>
      <c r="G26" s="301"/>
      <c r="H26" s="301"/>
      <c r="I26" s="301"/>
      <c r="J26" s="301" t="s">
        <v>215</v>
      </c>
    </row>
    <row r="27" spans="1:10" ht="12.75" customHeight="1" x14ac:dyDescent="0.15">
      <c r="A27" s="377"/>
      <c r="B27" s="43"/>
      <c r="C27" s="43"/>
      <c r="D27" s="43"/>
      <c r="E27" s="43"/>
      <c r="F27" s="44"/>
      <c r="G27" s="301"/>
      <c r="H27" s="301"/>
      <c r="I27" s="301"/>
      <c r="J27" s="301"/>
    </row>
    <row r="28" spans="1:10" ht="12.75" customHeight="1" x14ac:dyDescent="0.15">
      <c r="A28" s="37" t="s">
        <v>216</v>
      </c>
      <c r="B28" s="37"/>
      <c r="C28" s="37"/>
      <c r="D28" s="37"/>
      <c r="E28" s="37"/>
      <c r="F28" s="45"/>
      <c r="G28" s="301"/>
      <c r="H28" s="301"/>
      <c r="I28" s="301"/>
      <c r="J28" s="301" t="s">
        <v>217</v>
      </c>
    </row>
    <row r="29" spans="1:10" ht="12.75" customHeight="1" x14ac:dyDescent="0.15">
      <c r="A29" s="349" t="s">
        <v>210</v>
      </c>
      <c r="B29" s="41">
        <f>IF(ISERROR((Data!C88+((1-Data!C142)*(-Data!C79-Data!C80-Data!C81))-Data!C144)/Data!C65),"",(Data!C88+((1-Data!C142)*(-Data!C79-Data!C80-Data!C81))-Data!C144)/Data!C65)</f>
        <v>0.11754030601491136</v>
      </c>
      <c r="C29" s="41">
        <f>IF(ISERROR((Data!D88+((1-Data!D142)*(-Data!D79-Data!D80-Data!D81))-Data!D144)/Data!D65),"",(Data!D88+((1-Data!D142)*(-Data!D79-Data!D80-Data!D81))-Data!D144)/Data!D65)</f>
        <v>0.13265154424608824</v>
      </c>
      <c r="D29" s="41">
        <f>IF(ISERROR((Data!E88+((1-Data!E142)*(-Data!E79-Data!E80-Data!E81))-Data!E144)/Data!E65),"",(Data!E88+((1-Data!E142)*(-Data!E79-Data!E80-Data!E81))-Data!E144)/Data!E65)</f>
        <v>0.1389392743448874</v>
      </c>
      <c r="E29" s="41">
        <f>IF(ISERROR((Data!F88+((1-Data!F142)*(-Data!F79-Data!F80-Data!F81))-Data!F144)/Data!F65),"",(Data!F88+((1-Data!F142)*(-Data!F79-Data!F80-Data!F81))-Data!F144)/Data!F65)</f>
        <v>0.14284708310568803</v>
      </c>
      <c r="F29" s="41">
        <f>IF(ISERROR((Data!G88+((1-Data!G142)*(-Data!G79-Data!G80-Data!G81))-Data!G144)/Data!G65),"",(Data!G88+((1-Data!G142)*(-Data!G79-Data!G80-Data!G81))-Data!G144)/Data!G65)</f>
        <v>0.14336994214336307</v>
      </c>
      <c r="G29" s="301"/>
      <c r="H29" s="301"/>
      <c r="I29" s="301"/>
      <c r="J29" s="301" t="s">
        <v>218</v>
      </c>
    </row>
    <row r="30" spans="1:10" ht="12.75" customHeight="1" x14ac:dyDescent="0.15">
      <c r="A30" s="349" t="s">
        <v>212</v>
      </c>
      <c r="B30" s="42">
        <f>IF(ISERROR(Data!C65/((Data!B33+Data!C33)/2)),"",Data!C65/((Data!B33+Data!C33)/2))</f>
        <v>0.64042838447529538</v>
      </c>
      <c r="C30" s="42">
        <f>IF(ISERROR(Data!D65/((Data!C33+Data!D33)/2)),"",Data!D65/((Data!C33+Data!D33)/2))</f>
        <v>0.74549558130003868</v>
      </c>
      <c r="D30" s="42">
        <f>IF(ISERROR(Data!E65/((Data!D33+Data!E33)/2)),"",Data!E65/((Data!D33+Data!E33)/2))</f>
        <v>0.85158579213931418</v>
      </c>
      <c r="E30" s="42">
        <f>IF(ISERROR(Data!F65/((Data!E33+Data!F33)/2)),"",Data!F65/((Data!E33+Data!F33)/2))</f>
        <v>0.83450862624469613</v>
      </c>
      <c r="F30" s="42">
        <f>IF(ISERROR(Data!G65/((Data!F33+Data!G33)/2)),"",Data!G65/((Data!F33+Data!G33)/2))</f>
        <v>0.80376015170726123</v>
      </c>
      <c r="G30" s="301"/>
      <c r="H30" s="301"/>
      <c r="I30" s="301"/>
      <c r="J30" s="301"/>
    </row>
    <row r="31" spans="1:10" ht="12.75" customHeight="1" x14ac:dyDescent="0.15">
      <c r="A31" s="376" t="s">
        <v>214</v>
      </c>
      <c r="B31" s="41">
        <f>IF(ISERROR((Data!C88+((1-Data!C142)*(-Data!C79-Data!C80-Data!C81))-Data!C144)/((Data!B33+Data!C33)/2)),"",(Data!C88+((1-Data!C142)*(-Data!C79-Data!C80-Data!C81))-Data!C144)/((Data!B33+Data!C33)/2))</f>
        <v>7.5276148291861536E-2</v>
      </c>
      <c r="C31" s="41">
        <f>IF(ISERROR((Data!D88+((1-Data!D142)*(-Data!D79-Data!D80-Data!D81))-Data!D144)/((Data!C33+Data!D33)/2)),"",(Data!D88+((1-Data!D142)*(-Data!D79-Data!D80-Data!D81))-Data!D144)/((Data!C33+Data!D33)/2))</f>
        <v>9.8891140088085347E-2</v>
      </c>
      <c r="D31" s="41">
        <f>IF(ISERROR((Data!E88+((1-Data!E142)*(-Data!E79-Data!E80-Data!E81))-Data!E144)/((Data!D33+Data!E33)/2)),"",(Data!E88+((1-Data!E142)*(-Data!E79-Data!E80-Data!E81))-Data!E144)/((Data!D33+Data!E33)/2))</f>
        <v>0.11831871200225243</v>
      </c>
      <c r="E31" s="41">
        <f>IF(ISERROR((Data!F88+((1-Data!F142)*(-Data!F79-Data!F80-Data!F81))-Data!F144)/((Data!E33+Data!F33)/2)),"",(Data!F88+((1-Data!F142)*(-Data!F79-Data!F80-Data!F81))-Data!F144)/((Data!E33+Data!F33)/2))</f>
        <v>0.11920712308558966</v>
      </c>
      <c r="F31" s="41">
        <f>IF(ISERROR((Data!G88+((1-Data!G142)*(-Data!G79-Data!G80-Data!G81))-Data!G144)/((Data!F33+Data!G33)/2)),"",(Data!G88+((1-Data!G142)*(-Data!G79-Data!G80-Data!G81))-Data!G144)/((Data!F33+Data!G33)/2))</f>
        <v>0.11523504644741077</v>
      </c>
      <c r="G31" s="301"/>
      <c r="H31" s="301"/>
      <c r="I31" s="301"/>
      <c r="J31" s="301"/>
    </row>
    <row r="32" spans="1:10" ht="12.75" customHeight="1" x14ac:dyDescent="0.15">
      <c r="A32" s="377"/>
      <c r="B32" s="37"/>
      <c r="C32" s="37"/>
      <c r="D32" s="37"/>
      <c r="E32" s="37"/>
      <c r="F32" s="46"/>
      <c r="G32" s="301"/>
      <c r="H32" s="301"/>
      <c r="I32" s="301"/>
      <c r="J32" s="301"/>
    </row>
    <row r="33" spans="1:10" ht="12.75" customHeight="1" x14ac:dyDescent="0.15">
      <c r="A33" s="35" t="s">
        <v>219</v>
      </c>
      <c r="B33" s="35"/>
      <c r="C33" s="35"/>
      <c r="D33" s="35"/>
      <c r="E33" s="35"/>
      <c r="F33" s="47"/>
      <c r="G33" s="301"/>
      <c r="H33" s="301"/>
      <c r="I33" s="301"/>
      <c r="J33" s="301" t="s">
        <v>220</v>
      </c>
    </row>
    <row r="34" spans="1:10" ht="12.75" customHeight="1" x14ac:dyDescent="0.15">
      <c r="A34" s="349" t="s">
        <v>221</v>
      </c>
      <c r="B34" s="41">
        <f>IF(ISERROR((Data!C90-Data!C146)/Data!C65),"",(Data!C90-Data!C146)/Data!C65)</f>
        <v>0.1276002872238953</v>
      </c>
      <c r="C34" s="41">
        <f>IF(ISERROR((Data!D90-Data!D146)/Data!D65),"",(Data!D90-Data!D146)/Data!D65)</f>
        <v>0.14269564786481495</v>
      </c>
      <c r="D34" s="41">
        <f>IF(ISERROR((Data!E90-Data!E146)/Data!E65),"",(Data!E90-Data!E146)/Data!E65)</f>
        <v>0.14946446213598319</v>
      </c>
      <c r="E34" s="41">
        <f>IF(ISERROR((Data!F90-Data!F146)/Data!F65),"",(Data!F90-Data!F146)/Data!F65)</f>
        <v>0.1504765373641716</v>
      </c>
      <c r="F34" s="41">
        <f>IF(ISERROR((Data!G90-Data!G146)/Data!G65),"",(Data!G90-Data!G146)/Data!G65)</f>
        <v>0.14772298720531288</v>
      </c>
      <c r="G34" s="301"/>
      <c r="H34" s="301"/>
      <c r="I34" s="301"/>
      <c r="J34" s="301" t="s">
        <v>222</v>
      </c>
    </row>
    <row r="35" spans="1:10" ht="12.75" customHeight="1" x14ac:dyDescent="0.15">
      <c r="A35" s="349" t="s">
        <v>212</v>
      </c>
      <c r="B35" s="42">
        <f>IF(ISERROR(Data!C65/((Data!B33+Data!C33)/2)),"",Data!C65/((Data!B33+Data!C33)/2))</f>
        <v>0.64042838447529538</v>
      </c>
      <c r="C35" s="42">
        <f>IF(ISERROR(Data!D65/((Data!C33+Data!D33)/2)),"",Data!D65/((Data!C33+Data!D33)/2))</f>
        <v>0.74549558130003868</v>
      </c>
      <c r="D35" s="42">
        <f>IF(ISERROR(Data!E65/((Data!D33+Data!E33)/2)),"",Data!E65/((Data!D33+Data!E33)/2))</f>
        <v>0.85158579213931418</v>
      </c>
      <c r="E35" s="42">
        <f>IF(ISERROR(Data!F65/((Data!E33+Data!F33)/2)),"",Data!F65/((Data!E33+Data!F33)/2))</f>
        <v>0.83450862624469613</v>
      </c>
      <c r="F35" s="42">
        <f>IF(ISERROR(Data!G65/((Data!F33+Data!G33)/2)),"",Data!G65/((Data!F33+Data!G33)/2))</f>
        <v>0.80376015170726123</v>
      </c>
      <c r="G35" s="301"/>
      <c r="H35" s="301"/>
      <c r="I35" s="301"/>
      <c r="J35" s="301" t="s">
        <v>213</v>
      </c>
    </row>
    <row r="36" spans="1:10" ht="12.75" customHeight="1" x14ac:dyDescent="0.15">
      <c r="A36" s="349" t="s">
        <v>223</v>
      </c>
      <c r="B36" s="42">
        <f>IF(ISERROR(((Data!B33+Data!C33)/2)/((Data!B57+Data!C57)/2)),"",((Data!B33+Data!C33)/2)/((Data!B57+Data!C57)/2))</f>
        <v>1.4965478161277674</v>
      </c>
      <c r="C36" s="42">
        <f>IF(ISERROR(((Data!C33+Data!D33)/2)/((Data!C57+Data!D57)/2)),"",((Data!C33+Data!D33)/2)/((Data!C57+Data!D57)/2))</f>
        <v>1.4080307027596397</v>
      </c>
      <c r="D36" s="42">
        <f>IF(ISERROR(((Data!D33+Data!E33)/2)/((Data!D57+Data!E57)/2)),"",((Data!D33+Data!E33)/2)/((Data!D57+Data!E57)/2))</f>
        <v>1.5050364797234375</v>
      </c>
      <c r="E36" s="42">
        <f>IF(ISERROR(((Data!E33+Data!F33)/2)/((Data!E57+Data!F57)/2)),"",((Data!E33+Data!F33)/2)/((Data!E57+Data!F57)/2))</f>
        <v>1.7545548762819336</v>
      </c>
      <c r="F36" s="42">
        <f>IF(ISERROR(((Data!F33+Data!G33)/2)/((Data!F57+Data!G57)/2)),"",((Data!F33+Data!G33)/2)/((Data!F57+Data!G57)/2))</f>
        <v>1.7394695511970382</v>
      </c>
      <c r="G36" s="301"/>
      <c r="H36" s="301"/>
      <c r="I36" s="301"/>
      <c r="J36" s="301" t="s">
        <v>224</v>
      </c>
    </row>
    <row r="37" spans="1:10" ht="12.75" customHeight="1" x14ac:dyDescent="0.15">
      <c r="A37" s="376" t="s">
        <v>225</v>
      </c>
      <c r="B37" s="41">
        <f>IF(ISERROR((Data!C90-Data!C146)/((Data!B57+Data!C57)/2)),"",(Data!C90-Data!C146)/((Data!B57+Data!C57)/2))</f>
        <v>0.12229616022652762</v>
      </c>
      <c r="C37" s="41">
        <f>IF(ISERROR((Data!D90-Data!D146)/((Data!C57+Data!D57)/2)),"",(Data!D90-Data!D146)/((Data!C57+Data!D57)/2))</f>
        <v>0.14978486286328263</v>
      </c>
      <c r="D37" s="41">
        <f>IF(ISERROR((Data!E90-Data!E146)/((Data!D57+Data!E57)/2)),"",(Data!E90-Data!E146)/((Data!D57+Data!E57)/2))</f>
        <v>0.19156377084435983</v>
      </c>
      <c r="E37" s="41">
        <f>IF(ISERROR((Data!F90-Data!F146)/((Data!E57+Data!F57)/2)),"",(Data!F90-Data!F146)/((Data!E57+Data!F57)/2))</f>
        <v>0.22032641872685665</v>
      </c>
      <c r="F37" s="41">
        <f>IF(ISERROR((Data!G90-Data!G146)/((Data!F57+Data!G57)/2)),"",(Data!G90-Data!G146)/((Data!F57+Data!G57)/2))</f>
        <v>0.20653391782689282</v>
      </c>
      <c r="G37" s="301"/>
      <c r="H37" s="301"/>
      <c r="I37" s="301"/>
      <c r="J37" s="301" t="s">
        <v>226</v>
      </c>
    </row>
    <row r="38" spans="1:10" ht="12.75" customHeight="1" x14ac:dyDescent="0.15">
      <c r="A38" s="377"/>
      <c r="B38" s="43"/>
      <c r="C38" s="43"/>
      <c r="D38" s="43"/>
      <c r="E38" s="43"/>
      <c r="F38" s="44"/>
      <c r="G38" s="301"/>
      <c r="H38" s="301"/>
      <c r="I38" s="301"/>
      <c r="J38" s="301"/>
    </row>
    <row r="39" spans="1:10" ht="12.75" customHeight="1" x14ac:dyDescent="0.15">
      <c r="A39" s="35" t="s">
        <v>227</v>
      </c>
      <c r="B39" s="35"/>
      <c r="C39" s="35"/>
      <c r="D39" s="35"/>
      <c r="E39" s="35"/>
      <c r="F39" s="47"/>
      <c r="G39" s="301"/>
      <c r="H39" s="301"/>
      <c r="I39" s="301"/>
      <c r="J39" s="301" t="s">
        <v>228</v>
      </c>
    </row>
    <row r="40" spans="1:10" ht="12.75" customHeight="1" x14ac:dyDescent="0.15">
      <c r="A40" s="349" t="s">
        <v>221</v>
      </c>
      <c r="B40" s="41">
        <f>IF(ISERROR((Data!C90-Data!C146-Data!C144)/Data!C65),"",(Data!C90-Data!C146-Data!C144)/Data!C65)</f>
        <v>0.12686079286655877</v>
      </c>
      <c r="C40" s="41">
        <f>IF(ISERROR((Data!D90-Data!D146-Data!D144)/Data!D65),"",(Data!D90-Data!D146-Data!D144)/Data!D65)</f>
        <v>0.14210408949565775</v>
      </c>
      <c r="D40" s="41">
        <f>IF(ISERROR((Data!E90-Data!E146-Data!E144)/Data!E65),"",(Data!E90-Data!E146-Data!E144)/Data!E65)</f>
        <v>0.14760353993403133</v>
      </c>
      <c r="E40" s="41">
        <f>IF(ISERROR((Data!F90-Data!F146-Data!F144)/Data!F65),"",(Data!F90-Data!F146-Data!F144)/Data!F65)</f>
        <v>0.14653554300977351</v>
      </c>
      <c r="F40" s="41">
        <f>IF(ISERROR((Data!G90-Data!G146-Data!G144)/Data!G65),"",(Data!G90-Data!G146-Data!G144)/Data!G65)</f>
        <v>0.14433345290984853</v>
      </c>
      <c r="G40" s="301"/>
      <c r="H40" s="301"/>
      <c r="I40" s="301"/>
      <c r="J40" s="301" t="s">
        <v>229</v>
      </c>
    </row>
    <row r="41" spans="1:10" ht="12.75" customHeight="1" x14ac:dyDescent="0.15">
      <c r="A41" s="349" t="s">
        <v>212</v>
      </c>
      <c r="B41" s="42">
        <f>IF(ISERROR(Data!C65/((Data!B33+Data!C33)/2)),"",Data!C65/((Data!B33+Data!C33)/2))</f>
        <v>0.64042838447529538</v>
      </c>
      <c r="C41" s="42">
        <f>IF(ISERROR(Data!D65/((Data!C33+Data!D33)/2)),"",Data!D65/((Data!C33+Data!D33)/2))</f>
        <v>0.74549558130003868</v>
      </c>
      <c r="D41" s="42">
        <f>IF(ISERROR(Data!E65/((Data!D33+Data!E33)/2)),"",Data!E65/((Data!D33+Data!E33)/2))</f>
        <v>0.85158579213931418</v>
      </c>
      <c r="E41" s="42">
        <f>IF(ISERROR(Data!F65/((Data!E33+Data!F33)/2)),"",Data!F65/((Data!E33+Data!F33)/2))</f>
        <v>0.83450862624469613</v>
      </c>
      <c r="F41" s="42">
        <f>IF(ISERROR(Data!G65/((Data!F33+Data!G33)/2)),"",Data!G65/((Data!F33+Data!G33)/2))</f>
        <v>0.80376015170726123</v>
      </c>
      <c r="G41" s="301"/>
      <c r="H41" s="301"/>
      <c r="I41" s="301"/>
      <c r="J41" s="301"/>
    </row>
    <row r="42" spans="1:10" ht="12.75" customHeight="1" x14ac:dyDescent="0.15">
      <c r="A42" s="349" t="s">
        <v>223</v>
      </c>
      <c r="B42" s="42">
        <f>IF(ISERROR(((Data!B33+Data!C33)/2)/((Data!B57+Data!C57)/2)),"",((Data!B33+Data!C33)/2)/((Data!B57+Data!C57)/2))</f>
        <v>1.4965478161277674</v>
      </c>
      <c r="C42" s="42">
        <f>IF(ISERROR(((Data!C33+Data!D33)/2)/((Data!C57+Data!D57)/2)),"",((Data!C33+Data!D33)/2)/((Data!C57+Data!D57)/2))</f>
        <v>1.4080307027596397</v>
      </c>
      <c r="D42" s="42">
        <f>IF(ISERROR(((Data!D33+Data!E33)/2)/((Data!D57+Data!E57)/2)),"",((Data!D33+Data!E33)/2)/((Data!D57+Data!E57)/2))</f>
        <v>1.5050364797234375</v>
      </c>
      <c r="E42" s="42">
        <f>IF(ISERROR(((Data!E33+Data!F33)/2)/((Data!E57+Data!F57)/2)),"",((Data!E33+Data!F33)/2)/((Data!E57+Data!F57)/2))</f>
        <v>1.7545548762819336</v>
      </c>
      <c r="F42" s="42">
        <f>IF(ISERROR(((Data!F33+Data!G33)/2)/((Data!F57+Data!G57)/2)),"",((Data!F33+Data!G33)/2)/((Data!F57+Data!G57)/2))</f>
        <v>1.7394695511970382</v>
      </c>
      <c r="G42" s="301"/>
      <c r="H42" s="301"/>
      <c r="I42" s="301"/>
      <c r="J42" s="301"/>
    </row>
    <row r="43" spans="1:10" ht="12.75" customHeight="1" x14ac:dyDescent="0.15">
      <c r="A43" s="376" t="s">
        <v>225</v>
      </c>
      <c r="B43" s="41">
        <f>IF(ISERROR((Data!C90-Data!C146-Data!C144)/((Data!B57+Data!C57)/2)),"",(Data!C90-Data!C146-Data!C144)/((Data!B57+Data!C57)/2))</f>
        <v>0.12158740539235742</v>
      </c>
      <c r="C43" s="41">
        <f>IF(ISERROR((Data!D90-Data!D146-Data!D144)/((Data!C57+Data!D57)/2)),"",(Data!D90-Data!D146-Data!D144)/((Data!C57+Data!D57)/2))</f>
        <v>0.14916391547963304</v>
      </c>
      <c r="D43" s="41">
        <f>IF(ISERROR((Data!E90-Data!E146-Data!E144)/((Data!D57+Data!E57)/2)),"",(Data!E90-Data!E146-Data!E144)/((Data!D57+Data!E57)/2))</f>
        <v>0.18917868699794316</v>
      </c>
      <c r="E43" s="41">
        <f>IF(ISERROR((Data!F90-Data!F146-Data!F144)/((Data!E57+Data!F57)/2)),"",(Data!F90-Data!F146-Data!F144)/((Data!E57+Data!F57)/2))</f>
        <v>0.21455604955477839</v>
      </c>
      <c r="F43" s="41">
        <f>IF(ISERROR((Data!G90-Data!G146-Data!G144)/((Data!F57+Data!G57)/2)),"",(Data!G90-Data!G146-Data!G144)/((Data!F57+Data!G57)/2))</f>
        <v>0.2017949546438785</v>
      </c>
      <c r="G43" s="301"/>
      <c r="H43" s="301"/>
      <c r="I43" s="301"/>
      <c r="J43" s="301"/>
    </row>
    <row r="44" spans="1:10" ht="12.75" customHeight="1" x14ac:dyDescent="0.15">
      <c r="A44" s="378"/>
      <c r="B44" s="35"/>
      <c r="C44" s="35"/>
      <c r="D44" s="35"/>
      <c r="E44" s="35"/>
      <c r="F44" s="47"/>
      <c r="G44" s="301"/>
      <c r="H44" s="301"/>
      <c r="I44" s="301"/>
      <c r="J44" s="301"/>
    </row>
    <row r="45" spans="1:10" ht="12.75" customHeight="1" x14ac:dyDescent="0.15">
      <c r="A45" s="35" t="s">
        <v>230</v>
      </c>
      <c r="B45" s="35"/>
      <c r="C45" s="35"/>
      <c r="D45" s="35"/>
      <c r="E45" s="35"/>
      <c r="F45" s="47"/>
      <c r="G45" s="301"/>
      <c r="H45" s="301"/>
      <c r="I45" s="301"/>
      <c r="J45" s="301"/>
    </row>
    <row r="46" spans="1:10" ht="12.75" customHeight="1" x14ac:dyDescent="0.15">
      <c r="A46" s="349" t="s">
        <v>231</v>
      </c>
      <c r="B46" s="41">
        <f>IF(ISERROR(Data!C67/Data!C65),"",Data!C67/Data!C65)</f>
        <v>0.73091336484222336</v>
      </c>
      <c r="C46" s="41">
        <f>IF(ISERROR(Data!D67/Data!D65),"",Data!D67/Data!D65)</f>
        <v>0.73880684844955957</v>
      </c>
      <c r="D46" s="41">
        <f>IF(ISERROR(Data!E67/Data!E65),"",Data!E67/Data!E65)</f>
        <v>0.72354327950946917</v>
      </c>
      <c r="E46" s="41">
        <f>IF(ISERROR(Data!F67/Data!F65),"",Data!F67/Data!F65)</f>
        <v>0.73855399745037331</v>
      </c>
      <c r="F46" s="41">
        <f>IF(ISERROR(Data!G67/Data!G65),"",Data!G67/Data!G65)</f>
        <v>0.7418297046460075</v>
      </c>
      <c r="G46" s="301"/>
      <c r="H46" s="301"/>
      <c r="I46" s="301"/>
      <c r="J46" s="301" t="s">
        <v>232</v>
      </c>
    </row>
    <row r="47" spans="1:10" ht="12.75" customHeight="1" x14ac:dyDescent="0.15">
      <c r="A47" s="349" t="s">
        <v>233</v>
      </c>
      <c r="B47" s="41">
        <f>IF(ISERROR(Data!C77/Data!C65),"",Data!C77/Data!C65)</f>
        <v>0.16075964289924657</v>
      </c>
      <c r="C47" s="41">
        <f>IF(ISERROR(Data!D77/Data!D65),"",Data!D77/Data!D65)</f>
        <v>0.17741795611937705</v>
      </c>
      <c r="D47" s="41">
        <f>IF(ISERROR(Data!E77/Data!E65),"",Data!E77/Data!E65)</f>
        <v>0.18858303319864297</v>
      </c>
      <c r="E47" s="41">
        <f>IF(ISERROR(Data!F77/Data!F65),"",Data!F77/Data!F65)</f>
        <v>0.18681235961877005</v>
      </c>
      <c r="F47" s="41">
        <f>IF(ISERROR(Data!G77/Data!G65),"",Data!G77/Data!G65)</f>
        <v>0.18970814132104455</v>
      </c>
      <c r="G47" s="301"/>
      <c r="H47" s="301"/>
      <c r="I47" s="301"/>
      <c r="J47" s="301" t="s">
        <v>234</v>
      </c>
    </row>
    <row r="48" spans="1:10" ht="12.75" customHeight="1" x14ac:dyDescent="0.15">
      <c r="A48" s="349" t="s">
        <v>235</v>
      </c>
      <c r="B48" s="41">
        <f>IF(ISERROR(Data!C90/Data!C65),"",Data!C90/Data!C65)</f>
        <v>0.1276002872238953</v>
      </c>
      <c r="C48" s="41">
        <f>IF(ISERROR(Data!D90/Data!D65),"",Data!D90/Data!D65)</f>
        <v>0.14269564786481495</v>
      </c>
      <c r="D48" s="41">
        <f>IF(ISERROR(Data!E90/Data!E65),"",Data!E90/Data!E65)</f>
        <v>0.14946446213598319</v>
      </c>
      <c r="E48" s="41">
        <f>IF(ISERROR(Data!F90/Data!F65),"",Data!F90/Data!F65)</f>
        <v>0.1504765373641716</v>
      </c>
      <c r="F48" s="41">
        <f>IF(ISERROR(Data!G90/Data!G65),"",Data!G90/Data!G65)</f>
        <v>0.14772298720531288</v>
      </c>
      <c r="G48" s="301"/>
      <c r="H48" s="301"/>
      <c r="I48" s="301"/>
      <c r="J48" s="301" t="s">
        <v>236</v>
      </c>
    </row>
    <row r="49" spans="1:10" ht="12.75" customHeight="1" x14ac:dyDescent="0.15">
      <c r="A49" s="349" t="s">
        <v>237</v>
      </c>
      <c r="B49" s="41">
        <f>IF(ISERROR(Data!C94/Data!C65),"",Data!C94/Data!C65)</f>
        <v>5.3097123831366701E-2</v>
      </c>
      <c r="C49" s="41">
        <f>IF(ISERROR(Data!D94/Data!D65),"",Data!D94/Data!D65)</f>
        <v>0.20585302097399619</v>
      </c>
      <c r="D49" s="41">
        <f>IF(ISERROR(Data!E94/Data!E65),"",Data!E94/Data!E65)</f>
        <v>0.17183211972629805</v>
      </c>
      <c r="E49" s="41">
        <f>IF(ISERROR(Data!F94/Data!F65),"",Data!F94/Data!F65)</f>
        <v>0.13315121714320396</v>
      </c>
      <c r="F49" s="41">
        <f>IF(ISERROR(Data!G94/Data!G65),"",Data!G94/Data!G65)</f>
        <v>0.18007303365618993</v>
      </c>
      <c r="G49" s="301"/>
      <c r="H49" s="301"/>
      <c r="I49" s="301"/>
      <c r="J49" s="301" t="s">
        <v>238</v>
      </c>
    </row>
    <row r="50" spans="1:10" ht="12.75" customHeight="1" x14ac:dyDescent="0.15">
      <c r="A50" s="301"/>
      <c r="B50" s="301"/>
      <c r="C50" s="301"/>
      <c r="D50" s="301"/>
      <c r="E50" s="301"/>
      <c r="F50" s="301"/>
      <c r="G50" s="301"/>
      <c r="H50" s="301"/>
      <c r="I50" s="301"/>
      <c r="J50" s="301"/>
    </row>
    <row r="51" spans="1:10" ht="12.75" customHeight="1" x14ac:dyDescent="0.15">
      <c r="A51" s="37" t="s">
        <v>239</v>
      </c>
      <c r="B51" s="43"/>
      <c r="C51" s="43"/>
      <c r="D51" s="43"/>
      <c r="E51" s="43"/>
      <c r="F51" s="43"/>
      <c r="G51" s="301"/>
      <c r="H51" s="301"/>
      <c r="I51" s="301"/>
      <c r="J51" s="301"/>
    </row>
    <row r="52" spans="1:10" ht="12.75" customHeight="1" x14ac:dyDescent="0.15">
      <c r="A52" s="349" t="s">
        <v>240</v>
      </c>
      <c r="B52" s="41">
        <f>IF(ISERROR((Data!C77-Data!C76)/Data!C65),"",(Data!C77-Data!C76)/Data!C65)</f>
        <v>0.16075964289924657</v>
      </c>
      <c r="C52" s="41">
        <f>IF(ISERROR((Data!D77-Data!D76)/Data!D65),"",(Data!D77-Data!D76)/Data!D65)</f>
        <v>0.17741795611937705</v>
      </c>
      <c r="D52" s="41">
        <f>IF(ISERROR((Data!E77-Data!E76)/Data!E65),"",(Data!E77-Data!E76)/Data!E65)</f>
        <v>0.18858303319864297</v>
      </c>
      <c r="E52" s="41">
        <f>IF(ISERROR((Data!F77-Data!F76)/Data!F65),"",(Data!F77-Data!F76)/Data!F65)</f>
        <v>0.18681235961877005</v>
      </c>
      <c r="F52" s="41">
        <f>IF(ISERROR((Data!G77-Data!G76)/Data!G65),"",(Data!G77-Data!G76)/Data!G65)</f>
        <v>0.18970814132104455</v>
      </c>
      <c r="G52" s="301"/>
      <c r="H52" s="301"/>
      <c r="I52" s="301"/>
      <c r="J52" s="301" t="s">
        <v>241</v>
      </c>
    </row>
    <row r="53" spans="1:10" ht="12.75" customHeight="1" x14ac:dyDescent="0.15">
      <c r="A53" s="349" t="s">
        <v>242</v>
      </c>
      <c r="B53" s="41">
        <f>IF(ISERROR((Data!C90-Data!C144)/Data!C65),"",(Data!C90-Data!C144)/Data!C65)</f>
        <v>0.12686079286655877</v>
      </c>
      <c r="C53" s="41">
        <f>IF(ISERROR((Data!D90-Data!D144)/Data!D65),"",(Data!D90-Data!D144)/Data!D65)</f>
        <v>0.14210408949565775</v>
      </c>
      <c r="D53" s="41">
        <f>IF(ISERROR((Data!E90-Data!E144)/Data!E65),"",(Data!E90-Data!E144)/Data!E65)</f>
        <v>0.14760353993403133</v>
      </c>
      <c r="E53" s="41">
        <f>IF(ISERROR((Data!F90-Data!F144)/Data!F65),"",(Data!F90-Data!F144)/Data!F65)</f>
        <v>0.14653554300977351</v>
      </c>
      <c r="F53" s="41">
        <f>IF(ISERROR((Data!G90-Data!G144)/Data!G65),"",(Data!G90-Data!G144)/Data!G65)</f>
        <v>0.14433345290984853</v>
      </c>
      <c r="G53" s="301"/>
      <c r="H53" s="301"/>
      <c r="I53" s="301"/>
      <c r="J53" s="301" t="s">
        <v>243</v>
      </c>
    </row>
    <row r="54" spans="1:10" ht="12.75" customHeight="1" x14ac:dyDescent="0.15">
      <c r="A54" s="301"/>
      <c r="B54" s="43"/>
      <c r="C54" s="43"/>
      <c r="D54" s="43"/>
      <c r="E54" s="43"/>
      <c r="F54" s="43"/>
      <c r="G54" s="301"/>
      <c r="H54" s="301"/>
      <c r="I54" s="301"/>
      <c r="J54" s="301"/>
    </row>
    <row r="55" spans="1:10" ht="12.75" customHeight="1" x14ac:dyDescent="0.15">
      <c r="A55" s="37" t="s">
        <v>244</v>
      </c>
      <c r="B55" s="43"/>
      <c r="C55" s="43"/>
      <c r="D55" s="43"/>
      <c r="E55" s="43"/>
      <c r="F55" s="43"/>
      <c r="G55" s="301"/>
      <c r="H55" s="301"/>
      <c r="I55" s="301"/>
      <c r="J55" s="301"/>
    </row>
    <row r="56" spans="1:10" ht="12.75" customHeight="1" x14ac:dyDescent="0.15">
      <c r="A56" s="349" t="s">
        <v>245</v>
      </c>
      <c r="B56" s="41">
        <f>IF(ISERROR(Data!C65/Data!B65-1),"",Data!C65/Data!B65-1)</f>
        <v>-6.29820309570992E-2</v>
      </c>
      <c r="C56" s="41">
        <f>IF(ISERROR(Data!D65/Data!C65-1),"",Data!D65/Data!C65-1)</f>
        <v>0.15345401023860306</v>
      </c>
      <c r="D56" s="41">
        <f>IF(ISERROR(Data!E65/Data!D65-1),"",Data!E65/Data!D65-1)</f>
        <v>0.18499361984167306</v>
      </c>
      <c r="E56" s="41">
        <f>IF(ISERROR(Data!F65/Data!E65-1),"",Data!F65/Data!E65-1)</f>
        <v>7.63683789590337E-2</v>
      </c>
      <c r="F56" s="41">
        <f>IF(ISERROR(Data!G65/Data!F65-1),"",Data!G65/Data!F65-1)</f>
        <v>5.595337825532698E-2</v>
      </c>
      <c r="G56" s="301"/>
      <c r="H56" s="301"/>
      <c r="I56" s="301"/>
      <c r="J56" s="301" t="s">
        <v>246</v>
      </c>
    </row>
    <row r="57" spans="1:10" ht="12.75" customHeight="1" x14ac:dyDescent="0.15">
      <c r="A57" s="349" t="s">
        <v>247</v>
      </c>
      <c r="B57" s="41">
        <f>IF(ISERROR(Data!C90/Data!B90-1),"",Data!C90/Data!B90-1)</f>
        <v>-5.0128979070818924E-2</v>
      </c>
      <c r="C57" s="41">
        <f>IF(ISERROR(Data!D90/Data!C90-1),"",Data!D90/Data!C90-1)</f>
        <v>0.28990984937566489</v>
      </c>
      <c r="D57" s="41">
        <f>IF(ISERROR(Data!E90/Data!D90-1),"",Data!E90/Data!D90-1)</f>
        <v>0.24120417598159438</v>
      </c>
      <c r="E57" s="41">
        <f>IF(ISERROR(Data!F90/Data!E90-1),"",Data!F90/Data!E90-1)</f>
        <v>8.3656839086489576E-2</v>
      </c>
      <c r="F57" s="41">
        <f>IF(ISERROR(Data!G90/Data!F90-1),"",Data!G90/Data!F90-1)</f>
        <v>3.6630627723092335E-2</v>
      </c>
      <c r="G57" s="301"/>
      <c r="H57" s="301"/>
      <c r="I57" s="301"/>
      <c r="J57" s="301" t="s">
        <v>248</v>
      </c>
    </row>
    <row r="58" spans="1:10" ht="12.75" customHeight="1" x14ac:dyDescent="0.15">
      <c r="A58" s="349" t="s">
        <v>249</v>
      </c>
      <c r="B58" s="41">
        <f>IF(ISERROR(((Data!C90-Data!C144)/(Data!B90-Data!B144))-1),"",((Data!C90-Data!C144)/(Data!B90-Data!B144))-1)</f>
        <v>-4.8115584624457308E-2</v>
      </c>
      <c r="C58" s="41">
        <f>IF(ISERROR(((Data!D90-Data!D144)/(Data!C90-Data!C144))-1),"",((Data!D90-Data!D144)/(Data!C90-Data!C144))-1)</f>
        <v>0.29205035059558981</v>
      </c>
      <c r="D58" s="41">
        <f>IF(ISERROR(((Data!E90-Data!E144)/(Data!D90-Data!D144))-1),"",((Data!E90-Data!E144)/(Data!D90-Data!D144))-1)</f>
        <v>0.23085305784403465</v>
      </c>
      <c r="E58" s="41">
        <f>IF(ISERROR(((Data!F90-Data!F144)/(Data!E90-Data!E144))-1),"",((Data!F90-Data!F144)/(Data!E90-Data!E144))-1)</f>
        <v>6.8580231611006459E-2</v>
      </c>
      <c r="F58" s="41">
        <f>IF(ISERROR(((Data!G90-Data!G144)/(Data!F90-Data!F144))-1),"",((Data!G90-Data!G144)/(Data!F90-Data!F144))-1)</f>
        <v>4.0084842659950715E-2</v>
      </c>
      <c r="G58" s="301"/>
      <c r="H58" s="301"/>
      <c r="I58" s="301"/>
      <c r="J58" s="301" t="s">
        <v>250</v>
      </c>
    </row>
    <row r="59" spans="1:10" ht="12.75" customHeight="1" x14ac:dyDescent="0.15">
      <c r="A59" s="301"/>
      <c r="B59" s="379"/>
      <c r="C59" s="379"/>
      <c r="D59" s="379"/>
      <c r="E59" s="379"/>
      <c r="F59" s="379"/>
      <c r="G59" s="301"/>
      <c r="H59" s="301"/>
      <c r="I59" s="301"/>
      <c r="J59" s="301"/>
    </row>
    <row r="60" spans="1:10" ht="12.75" customHeight="1" x14ac:dyDescent="0.15">
      <c r="A60" s="35" t="s">
        <v>251</v>
      </c>
      <c r="B60" s="35"/>
      <c r="C60" s="35"/>
      <c r="D60" s="35"/>
      <c r="E60" s="35"/>
      <c r="F60" s="47"/>
      <c r="G60" s="301"/>
      <c r="H60" s="301"/>
      <c r="I60" s="301"/>
      <c r="J60" s="301"/>
    </row>
    <row r="61" spans="1:10" ht="12.75" customHeight="1" x14ac:dyDescent="0.15">
      <c r="A61" s="349" t="s">
        <v>252</v>
      </c>
      <c r="B61" s="41">
        <f>IF(ISERROR((Data!C67/Data!B67)/(Data!C65/Data!B65)),"",(Data!C67/Data!B67)/(Data!C65/Data!B65))</f>
        <v>1.0011973779489403</v>
      </c>
      <c r="C61" s="41">
        <f>IF(ISERROR((Data!D67/Data!C67)/(Data!D65/Data!C65)),"",(Data!D67/Data!C67)/(Data!D65/Data!C65))</f>
        <v>1.0107994790997428</v>
      </c>
      <c r="D61" s="41">
        <f>IF(ISERROR((Data!E67/Data!D67)/(Data!E65/Data!D65)),"",(Data!E67/Data!D67)/(Data!E65/Data!D65))</f>
        <v>0.97934024437899825</v>
      </c>
      <c r="E61" s="41">
        <f>IF(ISERROR((Data!F67/Data!E67)/(Data!F65/Data!E65)),"",(Data!F67/Data!E67)/(Data!F65/Data!E65))</f>
        <v>1.0207461230945032</v>
      </c>
      <c r="F61" s="41">
        <f>IF(ISERROR((Data!G67/Data!F67)/(Data!G65/Data!F65)),"",(Data!G67/Data!F67)/(Data!G65/Data!F65))</f>
        <v>1.0044352981731093</v>
      </c>
      <c r="G61" s="301"/>
      <c r="H61" s="301"/>
      <c r="I61" s="301"/>
      <c r="J61" s="301" t="s">
        <v>253</v>
      </c>
    </row>
    <row r="62" spans="1:10" ht="12.75" customHeight="1" x14ac:dyDescent="0.15">
      <c r="A62" s="349" t="s">
        <v>254</v>
      </c>
      <c r="B62" s="41">
        <f>IF(ISERROR((Data!C77/Data!B77)/(Data!C65/Data!B65)),"",(Data!C77/Data!B77)/(Data!C65/Data!B65))</f>
        <v>0.93963397928290593</v>
      </c>
      <c r="C62" s="41">
        <f>IF(ISERROR((Data!D77/Data!C77)/(Data!D65/Data!C65)),"",(Data!D77/Data!C77)/(Data!D65/Data!C65))</f>
        <v>1.1036224821087142</v>
      </c>
      <c r="D62" s="41">
        <f>IF(ISERROR((Data!E77/Data!D77)/(Data!E65/Data!D65)),"",(Data!E77/Data!D77)/(Data!E65/Data!D65))</f>
        <v>1.062930930574769</v>
      </c>
      <c r="E62" s="41">
        <f>IF(ISERROR((Data!F77/Data!E77)/(Data!F65/Data!E65)),"",(Data!F77/Data!E77)/(Data!F65/Data!E65))</f>
        <v>0.99061064216732675</v>
      </c>
      <c r="F62" s="41">
        <f>IF(ISERROR((Data!G77/Data!F77)/(Data!G65/Data!F65)),"",(Data!G77/Data!F77)/(Data!G65/Data!F65))</f>
        <v>1.0155010177494892</v>
      </c>
      <c r="G62" s="301"/>
      <c r="H62" s="301"/>
      <c r="I62" s="301"/>
      <c r="J62" s="301" t="s">
        <v>255</v>
      </c>
    </row>
    <row r="63" spans="1:10" ht="12.75" customHeight="1" x14ac:dyDescent="0.15">
      <c r="A63" s="48" t="s">
        <v>256</v>
      </c>
      <c r="B63" s="301"/>
      <c r="C63" s="301"/>
      <c r="D63" s="301"/>
      <c r="E63" s="301"/>
      <c r="F63" s="301"/>
      <c r="G63" s="301"/>
      <c r="H63" s="301"/>
      <c r="I63" s="301"/>
      <c r="J63" s="301"/>
    </row>
    <row r="64" spans="1:10" ht="12.75" customHeight="1" x14ac:dyDescent="0.15">
      <c r="A64" s="349" t="s">
        <v>257</v>
      </c>
      <c r="B64" s="41">
        <f>IF(ISERROR(Data!C67/Data!C65),"",Data!C67/Data!C65)</f>
        <v>0.73091336484222336</v>
      </c>
      <c r="C64" s="41">
        <f>IF(ISERROR(Data!D67/Data!D65),"",Data!D67/Data!D65)</f>
        <v>0.73880684844955957</v>
      </c>
      <c r="D64" s="41">
        <f>IF(ISERROR(Data!E67/Data!E65),"",Data!E67/Data!E65)</f>
        <v>0.72354327950946917</v>
      </c>
      <c r="E64" s="41">
        <f>IF(ISERROR(Data!F67/Data!F65),"",Data!F67/Data!F65)</f>
        <v>0.73855399745037331</v>
      </c>
      <c r="F64" s="41">
        <f>IF(ISERROR(Data!G67/Data!G65),"",Data!G67/Data!G65)</f>
        <v>0.7418297046460075</v>
      </c>
      <c r="G64" s="301"/>
      <c r="H64" s="301"/>
      <c r="I64" s="301"/>
      <c r="J64" s="301" t="s">
        <v>232</v>
      </c>
    </row>
    <row r="65" spans="1:10" ht="12.75" customHeight="1" x14ac:dyDescent="0.15">
      <c r="A65" s="349" t="s">
        <v>258</v>
      </c>
      <c r="B65" s="41">
        <f>IF(ISERROR(Data!C77/Data!C67),"",Data!C77/Data!C67)</f>
        <v>0.21994349895893411</v>
      </c>
      <c r="C65" s="41">
        <f>IF(ISERROR(Data!D77/Data!D67),"",Data!D77/Data!D67)</f>
        <v>0.24014119047718852</v>
      </c>
      <c r="D65" s="41">
        <f>IF(ISERROR(Data!E77/Data!E67),"",Data!E77/Data!E67)</f>
        <v>0.26063822101491158</v>
      </c>
      <c r="E65" s="41">
        <f>IF(ISERROR(Data!F77/Data!F67),"",Data!F77/Data!F67)</f>
        <v>0.25294340056878889</v>
      </c>
      <c r="F65" s="41">
        <f>IF(ISERROR(Data!G77/Data!G67),"",Data!G77/Data!G67)</f>
        <v>0.2557300417237553</v>
      </c>
      <c r="G65" s="301"/>
      <c r="H65" s="301"/>
      <c r="I65" s="301"/>
      <c r="J65" s="301" t="s">
        <v>259</v>
      </c>
    </row>
    <row r="66" spans="1:10" ht="12.75" customHeight="1" x14ac:dyDescent="0.15">
      <c r="A66" s="349" t="s">
        <v>260</v>
      </c>
      <c r="B66" s="41">
        <f>IF(ISERROR(Data!C83/Data!C77),"",Data!C83/Data!C77)</f>
        <v>1.0614444444444444</v>
      </c>
      <c r="C66" s="41">
        <f>IF(ISERROR(Data!D83/Data!D77),"",Data!D83/Data!D77)</f>
        <v>1.0556176244675652</v>
      </c>
      <c r="D66" s="41">
        <f>IF(ISERROR(Data!E83/Data!E77),"",Data!E83/Data!E77)</f>
        <v>1.0547863567696423</v>
      </c>
      <c r="E66" s="41">
        <f>IF(ISERROR(Data!F83/Data!F77),"",Data!F83/Data!F77)</f>
        <v>1.0399693243559414</v>
      </c>
      <c r="F66" s="41">
        <f>IF(ISERROR(Data!G83/Data!G77),"",Data!G83/Data!G77)</f>
        <v>1.0221944774418774</v>
      </c>
      <c r="G66" s="301"/>
      <c r="H66" s="301"/>
      <c r="I66" s="301"/>
      <c r="J66" s="301" t="s">
        <v>261</v>
      </c>
    </row>
    <row r="67" spans="1:10" ht="12.75" customHeight="1" x14ac:dyDescent="0.15">
      <c r="A67" s="349" t="s">
        <v>262</v>
      </c>
      <c r="B67" s="41">
        <f>IF(ISERROR(Data!C88/Data!C83),"",Data!C88/Data!C83)</f>
        <v>0.74690673086988379</v>
      </c>
      <c r="C67" s="41">
        <f>IF(ISERROR(Data!D88/Data!D83),"",Data!D88/Data!D83)</f>
        <v>0.76107160575491983</v>
      </c>
      <c r="D67" s="41">
        <f>IF(ISERROR(Data!E88/Data!E83),"",Data!E88/Data!E83)</f>
        <v>0.75061098993509034</v>
      </c>
      <c r="E67" s="41">
        <f>IF(ISERROR(Data!F88/Data!F83),"",Data!F88/Data!F83)</f>
        <v>0.77372545588621267</v>
      </c>
      <c r="F67" s="41">
        <f>IF(ISERROR(Data!G88/Data!G83),"",Data!G88/Data!G83)</f>
        <v>0.76088889942961491</v>
      </c>
      <c r="G67" s="301"/>
      <c r="H67" s="301"/>
      <c r="I67" s="301"/>
      <c r="J67" s="301" t="s">
        <v>263</v>
      </c>
    </row>
    <row r="68" spans="1:10" ht="12.75" customHeight="1" x14ac:dyDescent="0.15">
      <c r="A68" s="349" t="s">
        <v>264</v>
      </c>
      <c r="B68" s="41">
        <f>IF(ISERROR(Data!C88/Data!C65),"",Data!C88/Data!C65)</f>
        <v>0.12745024489052267</v>
      </c>
      <c r="C68" s="41">
        <f>IF(ISERROR(Data!D88/Data!D65),"",Data!D88/Data!D65)</f>
        <v>0.14253769248875728</v>
      </c>
      <c r="D68" s="41">
        <f>IF(ISERROR(Data!E88/Data!E65),"",Data!E88/Data!E65)</f>
        <v>0.14930764284930187</v>
      </c>
      <c r="E68" s="41">
        <f>IF(ISERROR(Data!F88/Data!F65),"",Data!F88/Data!F65)</f>
        <v>0.15031870333272621</v>
      </c>
      <c r="F68" s="41">
        <f>IF(ISERROR(Data!G88/Data!G65),"",Data!G88/Data!G65)</f>
        <v>0.14755052107766037</v>
      </c>
      <c r="G68" s="380"/>
      <c r="H68" s="301"/>
      <c r="I68" s="301"/>
      <c r="J68" s="301" t="s">
        <v>265</v>
      </c>
    </row>
    <row r="69" spans="1:10" ht="12.75" customHeight="1" x14ac:dyDescent="0.15">
      <c r="A69" s="48" t="s">
        <v>266</v>
      </c>
      <c r="B69" s="41"/>
      <c r="C69" s="41"/>
      <c r="D69" s="41"/>
      <c r="E69" s="41"/>
      <c r="F69" s="41"/>
      <c r="G69" s="301"/>
      <c r="H69" s="301"/>
      <c r="I69" s="301"/>
      <c r="J69" s="301"/>
    </row>
    <row r="70" spans="1:10" ht="12.75" customHeight="1" x14ac:dyDescent="0.15">
      <c r="A70" s="349" t="s">
        <v>267</v>
      </c>
      <c r="B70" s="41">
        <f>IF(ISERROR(Data!C94/Data!C88),"",Data!C94/Data!C88)</f>
        <v>0.41661060657024324</v>
      </c>
      <c r="C70" s="41">
        <f>IF(ISERROR(Data!D94/Data!D88),"",Data!D94/Data!D88)</f>
        <v>1.4442005997131808</v>
      </c>
      <c r="D70" s="41">
        <f>IF(ISERROR(Data!E94/Data!E88),"",Data!E94/Data!E88)</f>
        <v>1.1508595035535483</v>
      </c>
      <c r="E70" s="41">
        <f>IF(ISERROR(Data!F94/Data!F88),"",Data!F94/Data!F88)</f>
        <v>0.88579274695097321</v>
      </c>
      <c r="F70" s="41">
        <f>IF(ISERROR(Data!G94/Data!G88),"",Data!G94/Data!G88)</f>
        <v>1.220416114704278</v>
      </c>
      <c r="G70" s="301"/>
      <c r="H70" s="301"/>
      <c r="I70" s="301"/>
      <c r="J70" s="301" t="s">
        <v>268</v>
      </c>
    </row>
    <row r="71" spans="1:10" ht="12.75" customHeight="1" x14ac:dyDescent="0.15">
      <c r="A71" s="349" t="s">
        <v>269</v>
      </c>
      <c r="B71" s="41">
        <f>IF(ISERROR(Data!C94/Data!C65),"",Data!C94/Data!C65)</f>
        <v>5.3097123831366701E-2</v>
      </c>
      <c r="C71" s="41">
        <f>IF(ISERROR(Data!D94/Data!D65),"",Data!D94/Data!D65)</f>
        <v>0.20585302097399619</v>
      </c>
      <c r="D71" s="41">
        <f>IF(ISERROR(Data!E94/Data!E65),"",Data!E94/Data!E65)</f>
        <v>0.17183211972629805</v>
      </c>
      <c r="E71" s="41">
        <f>IF(ISERROR(Data!F94/Data!F65),"",Data!F94/Data!F65)</f>
        <v>0.13315121714320396</v>
      </c>
      <c r="F71" s="41">
        <f>IF(ISERROR(Data!G94/Data!G65),"",Data!G94/Data!G65)</f>
        <v>0.18007303365618993</v>
      </c>
      <c r="G71" s="301"/>
      <c r="H71" s="301"/>
      <c r="I71" s="301"/>
      <c r="J71" s="301" t="s">
        <v>270</v>
      </c>
    </row>
    <row r="72" spans="1:10" ht="12.75" customHeight="1" x14ac:dyDescent="0.15">
      <c r="A72" s="301"/>
      <c r="B72" s="379"/>
      <c r="C72" s="379"/>
      <c r="D72" s="379"/>
      <c r="E72" s="379"/>
      <c r="F72" s="379"/>
      <c r="G72" s="301"/>
      <c r="H72" s="301"/>
      <c r="I72" s="301"/>
      <c r="J72" s="301"/>
    </row>
    <row r="73" spans="1:10" ht="12.75" customHeight="1" thickBot="1" x14ac:dyDescent="0.2">
      <c r="A73" s="301"/>
      <c r="B73" s="379"/>
      <c r="C73" s="379"/>
      <c r="D73" s="379"/>
      <c r="E73" s="379"/>
      <c r="F73" s="379"/>
      <c r="G73" s="301"/>
      <c r="H73" s="301"/>
      <c r="I73" s="301"/>
      <c r="J73" s="301"/>
    </row>
    <row r="74" spans="1:10" ht="12.75" customHeight="1" thickBot="1" x14ac:dyDescent="0.2">
      <c r="A74" s="49" t="s">
        <v>271</v>
      </c>
      <c r="B74" s="381"/>
      <c r="C74" s="381"/>
      <c r="D74" s="381"/>
      <c r="E74" s="381"/>
      <c r="F74" s="382"/>
      <c r="G74" s="301"/>
      <c r="H74" s="301"/>
      <c r="I74" s="301"/>
      <c r="J74" s="37" t="s">
        <v>272</v>
      </c>
    </row>
    <row r="75" spans="1:10" ht="12.75" customHeight="1" thickBot="1" x14ac:dyDescent="0.2">
      <c r="A75" s="38" t="s">
        <v>207</v>
      </c>
      <c r="B75" s="39">
        <f>Data!$C$11</f>
        <v>2020</v>
      </c>
      <c r="C75" s="39">
        <f>Data!$D$11</f>
        <v>2021</v>
      </c>
      <c r="D75" s="39">
        <f>Data!$E$11</f>
        <v>2022</v>
      </c>
      <c r="E75" s="39">
        <f>Data!$F$11</f>
        <v>2023</v>
      </c>
      <c r="F75" s="39">
        <f>Data!$G$11</f>
        <v>2024</v>
      </c>
      <c r="G75" s="301"/>
      <c r="H75" s="301"/>
      <c r="I75" s="301"/>
      <c r="J75" s="301"/>
    </row>
    <row r="76" spans="1:10" ht="12.75" customHeight="1" x14ac:dyDescent="0.15">
      <c r="A76" s="35"/>
      <c r="B76" s="299"/>
      <c r="C76" s="299"/>
      <c r="D76" s="299"/>
      <c r="E76" s="299"/>
      <c r="F76" s="299"/>
      <c r="G76" s="301"/>
      <c r="H76" s="301"/>
      <c r="I76" s="301"/>
      <c r="J76" s="301"/>
    </row>
    <row r="77" spans="1:10" ht="12.75" customHeight="1" x14ac:dyDescent="0.15">
      <c r="A77" s="35" t="s">
        <v>273</v>
      </c>
      <c r="B77" s="299"/>
      <c r="C77" s="299"/>
      <c r="D77" s="299"/>
      <c r="E77" s="299"/>
      <c r="F77" s="299"/>
      <c r="G77" s="301"/>
      <c r="H77" s="301"/>
      <c r="I77" s="301"/>
      <c r="J77" s="301"/>
    </row>
    <row r="78" spans="1:10" ht="12.75" customHeight="1" x14ac:dyDescent="0.15">
      <c r="A78" s="349" t="s">
        <v>274</v>
      </c>
      <c r="B78" s="50">
        <f>IF(ISERROR(Data!C23/Data!C44),"",Data!C23/Data!C44)</f>
        <v>1.3015312553075473</v>
      </c>
      <c r="C78" s="50">
        <f>IF(ISERROR(Data!D23/Data!D44),"",Data!D23/Data!D44)</f>
        <v>0.72539961915288564</v>
      </c>
      <c r="D78" s="50">
        <f>IF(ISERROR(Data!E23/Data!E44),"",Data!E23/Data!E44)</f>
        <v>1.0240163850784998</v>
      </c>
      <c r="E78" s="50">
        <f>IF(ISERROR(Data!F23/Data!F44),"",Data!F23/Data!F44)</f>
        <v>1.09568649033202</v>
      </c>
      <c r="F78" s="50">
        <f>IF(ISERROR(Data!G23/Data!G44),"",Data!G23/Data!G44)</f>
        <v>1.1255534298988792</v>
      </c>
      <c r="G78" s="301"/>
      <c r="H78" s="301"/>
      <c r="I78" s="301"/>
      <c r="J78" s="301" t="s">
        <v>275</v>
      </c>
    </row>
    <row r="79" spans="1:10" ht="12.75" customHeight="1" x14ac:dyDescent="0.15">
      <c r="A79" s="349" t="s">
        <v>276</v>
      </c>
      <c r="B79" s="50">
        <f>IF(ISERROR((Data!C16+Data!C17+Data!C18)/Data!C44),"",(Data!C16+Data!C17+Data!C18)/Data!C44)</f>
        <v>0.88650117548203711</v>
      </c>
      <c r="C79" s="50">
        <f>IF(ISERROR((Data!D16+Data!D17+Data!D18)/Data!D44),"",(Data!D16+Data!D17+Data!D18)/Data!D44)</f>
        <v>0.40456295691141403</v>
      </c>
      <c r="D79" s="50">
        <f>IF(ISERROR((Data!E16+Data!E17+Data!E18)/Data!E44),"",(Data!E16+Data!E17+Data!E18)/Data!E44)</f>
        <v>0.53741308182335012</v>
      </c>
      <c r="E79" s="50">
        <f>IF(ISERROR((Data!F16+Data!F17+Data!F18)/Data!F44),"",(Data!F16+Data!F17+Data!F18)/Data!F44)</f>
        <v>0.62959656905843731</v>
      </c>
      <c r="F79" s="50">
        <f>IF(ISERROR((Data!G16+Data!G17+Data!G18)/Data!G44),"",(Data!G16+Data!G17+Data!G18)/Data!G44)</f>
        <v>0.6596132823175731</v>
      </c>
      <c r="G79" s="301"/>
      <c r="H79" s="301"/>
      <c r="I79" s="301"/>
      <c r="J79" s="301" t="s">
        <v>277</v>
      </c>
    </row>
    <row r="80" spans="1:10" ht="12.75" customHeight="1" x14ac:dyDescent="0.15">
      <c r="A80" s="349" t="s">
        <v>278</v>
      </c>
      <c r="B80" s="41">
        <f>IF(ISERROR(Data!C115/((Data!B44+Data!C44)/2)),"",Data!C115/((Data!B44+Data!C44)/2))</f>
        <v>0.58368155424105916</v>
      </c>
      <c r="C80" s="41">
        <f>IF(ISERROR(Data!D115/((Data!C44+Data!D44)/2)),"",Data!D115/((Data!C44+Data!D44)/2))</f>
        <v>0.48345907882445927</v>
      </c>
      <c r="D80" s="41">
        <f>IF(ISERROR(Data!E115/((Data!D44+Data!E44)/2)),"",Data!E115/((Data!D44+Data!E44)/2))</f>
        <v>0.41349627390349347</v>
      </c>
      <c r="E80" s="41">
        <f>IF(ISERROR(Data!F115/((Data!E44+Data!F44)/2)),"",Data!F115/((Data!E44+Data!F44)/2))</f>
        <v>0.53142787260434299</v>
      </c>
      <c r="F80" s="41">
        <f>IF(ISERROR(Data!G115/((Data!F44+Data!G44)/2)),"",Data!G115/((Data!F44+Data!G44)/2))</f>
        <v>0.56109047694823555</v>
      </c>
      <c r="G80" s="301"/>
      <c r="H80" s="301"/>
      <c r="I80" s="301"/>
      <c r="J80" s="301" t="s">
        <v>279</v>
      </c>
    </row>
    <row r="81" spans="1:10" ht="12.75" customHeight="1" x14ac:dyDescent="0.15">
      <c r="A81" s="301"/>
      <c r="B81" s="43"/>
      <c r="C81" s="43"/>
      <c r="D81" s="43"/>
      <c r="E81" s="43"/>
      <c r="F81" s="44"/>
      <c r="G81" s="301"/>
      <c r="H81" s="301"/>
      <c r="I81" s="301"/>
      <c r="J81" s="301"/>
    </row>
    <row r="82" spans="1:10" ht="12.75" customHeight="1" x14ac:dyDescent="0.15">
      <c r="A82" s="35" t="s">
        <v>280</v>
      </c>
      <c r="B82" s="35"/>
      <c r="C82" s="35"/>
      <c r="D82" s="35"/>
      <c r="E82" s="35"/>
      <c r="F82" s="35"/>
      <c r="G82" s="301"/>
      <c r="H82" s="301"/>
      <c r="I82" s="301"/>
      <c r="J82" s="301"/>
    </row>
    <row r="83" spans="1:10" ht="12.75" customHeight="1" x14ac:dyDescent="0.15">
      <c r="A83" s="349" t="s">
        <v>281</v>
      </c>
      <c r="B83" s="42">
        <f>IF(ISERROR(Data!C65/((Data!B18+Data!C18)/2)),"",Data!C65/((Data!B18+Data!C18)/2))</f>
        <v>7.3682811266122661</v>
      </c>
      <c r="C83" s="42">
        <f>IF(ISERROR(Data!D65/((Data!C18+Data!D18)/2)),"",Data!D65/((Data!C18+Data!D18)/2))</f>
        <v>8.5731051604423616</v>
      </c>
      <c r="D83" s="42">
        <f>IF(ISERROR(Data!E65/((Data!D18+Data!E18)/2)),"",Data!E65/((Data!D18+Data!E18)/2))</f>
        <v>8.7188742665071501</v>
      </c>
      <c r="E83" s="42">
        <f>IF(ISERROR(Data!F65/((Data!E18+Data!F18)/2)),"",Data!F65/((Data!E18+Data!F18)/2))</f>
        <v>8.3634572815336803</v>
      </c>
      <c r="F83" s="42">
        <f>IF(ISERROR(Data!G65/((Data!F18+Data!G18)/2)),"",Data!G65/((Data!F18+Data!G18)/2))</f>
        <v>8.1325541166019928</v>
      </c>
      <c r="G83" s="301"/>
      <c r="H83" s="301"/>
      <c r="I83" s="301"/>
      <c r="J83" s="301" t="s">
        <v>282</v>
      </c>
    </row>
    <row r="84" spans="1:10" ht="12.75" customHeight="1" x14ac:dyDescent="0.15">
      <c r="A84" s="349" t="s">
        <v>283</v>
      </c>
      <c r="B84" s="51">
        <f>IF(ISERROR(365/B83),"",365/B83)</f>
        <v>49.536654984799284</v>
      </c>
      <c r="C84" s="51">
        <f>IF(ISERROR(365/C83),"",365/C83)</f>
        <v>42.575005574895627</v>
      </c>
      <c r="D84" s="51">
        <f>IF(ISERROR(365/D83),"",365/D83)</f>
        <v>41.863202615745699</v>
      </c>
      <c r="E84" s="51">
        <f>IF(ISERROR(365/E83),"",365/E83)</f>
        <v>43.642238815030659</v>
      </c>
      <c r="F84" s="51">
        <f>IF(ISERROR(365/F83),"",365/F83)</f>
        <v>44.881349053045973</v>
      </c>
      <c r="G84" s="301"/>
      <c r="H84" s="301"/>
      <c r="I84" s="301"/>
      <c r="J84" s="301" t="s">
        <v>284</v>
      </c>
    </row>
    <row r="85" spans="1:10" ht="12.75" customHeight="1" x14ac:dyDescent="0.15">
      <c r="A85" s="349" t="s">
        <v>285</v>
      </c>
      <c r="B85" s="42">
        <f>IF(ISERROR(-Data!C66/((Data!B19+Data!C19)/2)),"",-Data!C66/((Data!B19+Data!C19)/2))</f>
        <v>2.6917414144301897</v>
      </c>
      <c r="C85" s="42">
        <f>IF(ISERROR(-Data!D66/((Data!C19+Data!D19)/2)),"",-Data!D66/((Data!C19+Data!D19)/2))</f>
        <v>2.8867817960874249</v>
      </c>
      <c r="D85" s="42">
        <f>IF(ISERROR(-Data!E66/((Data!D19+Data!E19)/2)),"",-Data!E66/((Data!D19+Data!E19)/2))</f>
        <v>2.91955450668654</v>
      </c>
      <c r="E85" s="42">
        <f>IF(ISERROR(-Data!F66/((Data!E19+Data!F19)/2)),"",-Data!F66/((Data!E19+Data!F19)/2))</f>
        <v>2.5152428341159156</v>
      </c>
      <c r="F85" s="42">
        <f>IF(ISERROR(-Data!G66/((Data!F19+Data!G19)/2)),"",-Data!G66/((Data!F19+Data!G19)/2))</f>
        <v>2.4640877914951989</v>
      </c>
      <c r="G85" s="301"/>
      <c r="H85" s="301"/>
      <c r="I85" s="301"/>
      <c r="J85" s="301" t="s">
        <v>286</v>
      </c>
    </row>
    <row r="86" spans="1:10" ht="12.75" customHeight="1" x14ac:dyDescent="0.15">
      <c r="A86" s="349" t="s">
        <v>287</v>
      </c>
      <c r="B86" s="51">
        <f>IF(ISERROR(365/B85),"",365/B85)</f>
        <v>135.59994955060208</v>
      </c>
      <c r="C86" s="51">
        <f>IF(ISERROR(365/C85),"",365/C85)</f>
        <v>126.43837525049508</v>
      </c>
      <c r="D86" s="51">
        <f>IF(ISERROR(365/D85),"",365/D85)</f>
        <v>125.01907368540473</v>
      </c>
      <c r="E86" s="51">
        <f>IF(ISERROR(365/E85),"",365/E85)</f>
        <v>145.11521315129562</v>
      </c>
      <c r="F86" s="51">
        <f>IF(ISERROR(365/F85),"",365/F85)</f>
        <v>148.12783913779282</v>
      </c>
      <c r="G86" s="301"/>
      <c r="H86" s="301"/>
      <c r="I86" s="301"/>
      <c r="J86" s="301" t="s">
        <v>288</v>
      </c>
    </row>
    <row r="87" spans="1:10" ht="12.75" customHeight="1" x14ac:dyDescent="0.15">
      <c r="A87" s="349" t="s">
        <v>289</v>
      </c>
      <c r="B87" s="42">
        <f>IF(ISERROR((-Data!C66+Data!C19-Data!B19)/((Data!C36+Data!B36)/2)),"",(-Data!C66+Data!C19-Data!B19)/((Data!C36+Data!B36)/2))</f>
        <v>1.5467212853792358</v>
      </c>
      <c r="C87" s="42">
        <f>IF(ISERROR((-Data!D66+Data!D19-Data!C19)/((Data!D36+Data!C36)/2)),"",(-Data!D66+Data!D19-Data!C19)/((Data!D36+Data!C36)/2))</f>
        <v>1.6476930746081269</v>
      </c>
      <c r="D87" s="42">
        <f>IF(ISERROR((-Data!E66+Data!E19-Data!D19)/((Data!E36+Data!D36)/2)),"",(-Data!E66+Data!E19-Data!D19)/((Data!E36+Data!D36)/2))</f>
        <v>1.8510999943610686</v>
      </c>
      <c r="E87" s="42">
        <f>IF(ISERROR((-Data!F66+Data!F19-Data!E19)/((Data!F36+Data!E36)/2)),"",(-Data!F66+Data!F19-Data!E19)/((Data!F36+Data!E36)/2))</f>
        <v>1.7601437057813214</v>
      </c>
      <c r="F87" s="42">
        <f>IF(ISERROR((-Data!G66+Data!G19-Data!F19)/((Data!G36+Data!F36)/2)),"",(-Data!G66+Data!G19-Data!F19)/((Data!G36+Data!F36)/2))</f>
        <v>1.7751472825874919</v>
      </c>
      <c r="G87" s="301"/>
      <c r="H87" s="301"/>
      <c r="I87" s="301"/>
      <c r="J87" s="301" t="s">
        <v>290</v>
      </c>
    </row>
    <row r="88" spans="1:10" ht="12.75" customHeight="1" x14ac:dyDescent="0.15">
      <c r="A88" s="349" t="s">
        <v>291</v>
      </c>
      <c r="B88" s="51">
        <f>IF(ISERROR(365/B87),"",365/B87)</f>
        <v>235.98304584688429</v>
      </c>
      <c r="C88" s="51">
        <f>IF(ISERROR(365/C87),"",365/C87)</f>
        <v>221.52183900318235</v>
      </c>
      <c r="D88" s="51">
        <f>IF(ISERROR(365/D87),"",365/D87)</f>
        <v>197.18005570303322</v>
      </c>
      <c r="E88" s="51">
        <f>IF(ISERROR(365/E87),"",365/E87)</f>
        <v>207.36943171238272</v>
      </c>
      <c r="F88" s="51">
        <f>IF(ISERROR(365/F87),"",365/F87)</f>
        <v>205.61674154043621</v>
      </c>
      <c r="G88" s="301"/>
      <c r="H88" s="301"/>
      <c r="I88" s="301"/>
      <c r="J88" s="301" t="s">
        <v>292</v>
      </c>
    </row>
    <row r="89" spans="1:10" ht="12.75" customHeight="1" x14ac:dyDescent="0.15">
      <c r="A89" s="349" t="s">
        <v>293</v>
      </c>
      <c r="B89" s="51">
        <f>IF(ISERROR(B84+B86-B88),"",B84+B86-B88)</f>
        <v>-50.84644131148292</v>
      </c>
      <c r="C89" s="51">
        <f>IF(ISERROR(C84+C86-C88),"",C84+C86-C88)</f>
        <v>-52.508458177791653</v>
      </c>
      <c r="D89" s="51">
        <f>IF(ISERROR(D84+D86-D88),"",D84+D86-D88)</f>
        <v>-30.297779401882792</v>
      </c>
      <c r="E89" s="51">
        <f>IF(ISERROR(E84+E86-E88),"",E84+E86-E88)</f>
        <v>-18.611979746056448</v>
      </c>
      <c r="F89" s="51">
        <f>IF(ISERROR(F84+F86-F88),"",F84+F86-F88)</f>
        <v>-12.607553349597424</v>
      </c>
      <c r="G89" s="301"/>
      <c r="H89" s="301"/>
      <c r="I89" s="301"/>
      <c r="J89" s="301" t="s">
        <v>294</v>
      </c>
    </row>
    <row r="90" spans="1:10" ht="12.75" customHeight="1" x14ac:dyDescent="0.15">
      <c r="A90" s="349" t="s">
        <v>295</v>
      </c>
      <c r="B90" s="50">
        <f>IF(ISERROR(Data!C65/((Data!B25+Data!B26+Data!C25+Data!C26)/2)),"",Data!C65/((Data!B25+Data!B26+Data!C25+Data!C26)/2))</f>
        <v>8.1496761045199797</v>
      </c>
      <c r="C90" s="50">
        <f>IF(ISERROR(Data!D65/((Data!C25+Data!C26+Data!D25+Data!D26)/2)),"",Data!D65/((Data!C25+Data!C26+Data!D25+Data!D26)/2))</f>
        <v>9.9478078688726619</v>
      </c>
      <c r="D90" s="50">
        <f>IF(ISERROR(Data!E65/((Data!D25+Data!D26+Data!E25+Data!E26)/2)),"",Data!E65/((Data!D25+Data!D26+Data!E25+Data!E26)/2))</f>
        <v>11.340002074719543</v>
      </c>
      <c r="E90" s="50">
        <f>IF(ISERROR(Data!F65/((Data!E25+Data!E26+Data!F25+Data!F26)/2)),"",Data!F65/((Data!E25+Data!E26+Data!F25+Data!F26)/2))</f>
        <v>11.207037309168095</v>
      </c>
      <c r="F90" s="50">
        <f>IF(ISERROR(Data!G65/((Data!F25+Data!F26+Data!G25+Data!G26)/2)),"",Data!G65/((Data!F25+Data!F26+Data!G25+Data!G26)/2))</f>
        <v>10.777798431168446</v>
      </c>
      <c r="G90" s="301"/>
      <c r="H90" s="301"/>
      <c r="I90" s="301"/>
      <c r="J90" s="301" t="s">
        <v>296</v>
      </c>
    </row>
    <row r="91" spans="1:10" ht="12.75" customHeight="1" x14ac:dyDescent="0.15">
      <c r="A91" s="349" t="s">
        <v>297</v>
      </c>
      <c r="B91" s="42">
        <f>IF(ISERROR(Data!C65/((Data!B16+Data!C16)/2)),"",Data!C65/((Data!B16+Data!C16)/2))</f>
        <v>4.7882893285094807</v>
      </c>
      <c r="C91" s="42">
        <f>IF(ISERROR(Data!D65/((Data!C16+Data!D16)/2)),"",Data!D65/((Data!C16+Data!D16)/2))</f>
        <v>7.0808469576850106</v>
      </c>
      <c r="D91" s="42">
        <f>IF(ISERROR(Data!E65/((Data!D16+Data!E16)/2)),"",Data!E65/((Data!D16+Data!E16)/2))</f>
        <v>14.352658726437213</v>
      </c>
      <c r="E91" s="42">
        <f>IF(ISERROR(Data!F65/((Data!E16+Data!F16)/2)),"",Data!F65/((Data!E16+Data!F16)/2))</f>
        <v>11.926930985548379</v>
      </c>
      <c r="F91" s="42">
        <f>IF(ISERROR(Data!G65/((Data!F16+Data!G16)/2)),"",Data!G65/((Data!F16+Data!G16)/2))</f>
        <v>10.427989065272648</v>
      </c>
      <c r="G91" s="301"/>
      <c r="H91" s="301"/>
      <c r="I91" s="301"/>
      <c r="J91" s="301" t="s">
        <v>298</v>
      </c>
    </row>
    <row r="92" spans="1:10" ht="12.75" customHeight="1" x14ac:dyDescent="0.15">
      <c r="A92" s="349" t="s">
        <v>299</v>
      </c>
      <c r="B92" s="42">
        <f>IF(ISERROR(365/B91),"",365/B91)</f>
        <v>76.227641013000095</v>
      </c>
      <c r="C92" s="42">
        <f>IF(ISERROR(365/C91),"",365/C91)</f>
        <v>51.547505853640416</v>
      </c>
      <c r="D92" s="42">
        <f>IF(ISERROR(365/D91),"",365/D91)</f>
        <v>25.430828319472251</v>
      </c>
      <c r="E92" s="42">
        <f>IF(ISERROR(365/E91),"",365/E91)</f>
        <v>30.603010987676804</v>
      </c>
      <c r="F92" s="42">
        <f>IF(ISERROR(365/F91),"",365/F91)</f>
        <v>35.001954616113402</v>
      </c>
      <c r="G92" s="301"/>
      <c r="H92" s="379"/>
      <c r="I92" s="301"/>
      <c r="J92" s="301" t="s">
        <v>300</v>
      </c>
    </row>
    <row r="93" spans="1:10" ht="12.75" customHeight="1" x14ac:dyDescent="0.15">
      <c r="A93" s="301"/>
      <c r="B93" s="43"/>
      <c r="C93" s="43"/>
      <c r="D93" s="43"/>
      <c r="E93" s="43"/>
      <c r="F93" s="44"/>
      <c r="G93" s="301"/>
      <c r="H93" s="301"/>
      <c r="I93" s="301"/>
      <c r="J93" s="301"/>
    </row>
    <row r="94" spans="1:10" ht="12.75" customHeight="1" x14ac:dyDescent="0.15">
      <c r="A94" s="35" t="s">
        <v>301</v>
      </c>
      <c r="B94" s="35"/>
      <c r="C94" s="35"/>
      <c r="D94" s="35"/>
      <c r="E94" s="35"/>
      <c r="F94" s="47"/>
      <c r="G94" s="301"/>
      <c r="H94" s="301"/>
      <c r="I94" s="301"/>
      <c r="J94" s="301"/>
    </row>
    <row r="95" spans="1:10" ht="12.75" customHeight="1" x14ac:dyDescent="0.15">
      <c r="A95" s="349" t="s">
        <v>302</v>
      </c>
      <c r="B95" s="41">
        <f>IF(ISERROR(Data!C50/Data!C33),"",Data!C50/Data!C33)</f>
        <v>0.33499438163597589</v>
      </c>
      <c r="C95" s="41">
        <f>IF(ISERROR(Data!D50/Data!D33),"",Data!D50/Data!D33)</f>
        <v>0.45150940983644661</v>
      </c>
      <c r="D95" s="41">
        <f>IF(ISERROR(Data!E50/Data!E33),"",Data!E50/Data!E33)</f>
        <v>0.41964358143446934</v>
      </c>
      <c r="E95" s="41">
        <f>IF(ISERROR(Data!F50/Data!F33),"",Data!F50/Data!F33)</f>
        <v>0.43918040690386662</v>
      </c>
      <c r="F95" s="41">
        <f>IF(ISERROR(Data!G50/Data!G33),"",Data!G50/Data!G33)</f>
        <v>0.41196449548740627</v>
      </c>
      <c r="G95" s="301"/>
      <c r="H95" s="301"/>
      <c r="I95" s="301"/>
      <c r="J95" s="301" t="s">
        <v>303</v>
      </c>
    </row>
    <row r="96" spans="1:10" ht="12.75" customHeight="1" x14ac:dyDescent="0.15">
      <c r="A96" s="349" t="s">
        <v>304</v>
      </c>
      <c r="B96" s="41">
        <f>IF(ISERROR(Data!C50/Data!C59),"",Data!C50/Data!C59)</f>
        <v>0.50374843096955735</v>
      </c>
      <c r="C96" s="41">
        <f>IF(ISERROR(Data!D50/Data!D59),"",Data!D50/Data!D59)</f>
        <v>0.8231818451548365</v>
      </c>
      <c r="D96" s="41">
        <f>IF(ISERROR(Data!E50/Data!E59),"",Data!E50/Data!E59)</f>
        <v>0.72306843470104631</v>
      </c>
      <c r="E96" s="41">
        <f>IF(ISERROR(Data!F50/Data!F59),"",Data!F50/Data!F59)</f>
        <v>0.78309383564234558</v>
      </c>
      <c r="F96" s="41">
        <f>IF(ISERROR(Data!G50/Data!G59),"",Data!G50/Data!G59)</f>
        <v>0.70057758813198223</v>
      </c>
      <c r="G96" s="301"/>
      <c r="H96" s="301"/>
      <c r="I96" s="301"/>
      <c r="J96" s="301" t="s">
        <v>305</v>
      </c>
    </row>
    <row r="97" spans="1:10" ht="12.75" customHeight="1" x14ac:dyDescent="0.15">
      <c r="A97" s="349" t="s">
        <v>306</v>
      </c>
      <c r="B97" s="41">
        <f>IF(ISERROR(Data!C45/(Data!C45+Data!C59)),"",Data!C45/(Data!C45+Data!C59))</f>
        <v>2.9302968563085845E-4</v>
      </c>
      <c r="C97" s="41">
        <f>IF(ISERROR(Data!D45/(Data!D45+Data!D59)),"",Data!D45/(Data!D45+Data!D59))</f>
        <v>4.5332644164163476E-4</v>
      </c>
      <c r="D97" s="41">
        <f>IF(ISERROR(Data!E45/(Data!E45+Data!E59)),"",Data!E45/(Data!E45+Data!E59))</f>
        <v>9.9906966272790776E-2</v>
      </c>
      <c r="E97" s="41">
        <f>IF(ISERROR(Data!F45/(Data!F45+Data!F59)),"",Data!F45/(Data!F45+Data!F59))</f>
        <v>0.14031701174161354</v>
      </c>
      <c r="F97" s="41">
        <f>IF(ISERROR(Data!G45/(Data!G45+Data!G59)),"",Data!G45/(Data!G45+Data!G59))</f>
        <v>0.13534542816811004</v>
      </c>
      <c r="G97" s="301"/>
      <c r="H97" s="301"/>
      <c r="I97" s="301"/>
      <c r="J97" s="301" t="s">
        <v>307</v>
      </c>
    </row>
    <row r="98" spans="1:10" ht="12.75" customHeight="1" x14ac:dyDescent="0.15">
      <c r="A98" s="349" t="s">
        <v>308</v>
      </c>
      <c r="B98" s="41">
        <f>IF(ISERROR(Data!C45/Data!C59),"",Data!C45/Data!C59)</f>
        <v>2.931155771962978E-4</v>
      </c>
      <c r="C98" s="41">
        <f>IF(ISERROR(Data!D45/Data!D59),"",Data!D45/Data!D59)</f>
        <v>4.5353203970736579E-4</v>
      </c>
      <c r="D98" s="41">
        <f>IF(ISERROR(Data!E45/Data!E59),"",Data!E45/Data!E59)</f>
        <v>0.11099626652934361</v>
      </c>
      <c r="E98" s="41">
        <f>IF(ISERROR(Data!F45/Data!F59),"",Data!F45/Data!F59)</f>
        <v>0.16321948166716524</v>
      </c>
      <c r="F98" s="41">
        <f>IF(ISERROR(Data!G45/Data!G59),"",Data!G45/Data!G59)</f>
        <v>0.15653121209012064</v>
      </c>
      <c r="G98" s="301"/>
      <c r="H98" s="301"/>
      <c r="I98" s="301"/>
      <c r="J98" s="301" t="s">
        <v>309</v>
      </c>
    </row>
    <row r="99" spans="1:10" ht="12.75" customHeight="1" x14ac:dyDescent="0.15">
      <c r="A99" s="349" t="s">
        <v>310</v>
      </c>
      <c r="B99" s="41">
        <f>IF(ISERROR(Data!C115/((Data!C50+Data!B50)/2)),"",Data!C115/((Data!C50+Data!B50)/2))</f>
        <v>0.4451779801324503</v>
      </c>
      <c r="C99" s="41">
        <f>IF(ISERROR(Data!D115/((Data!D50+Data!C50)/2)),"",Data!D115/((Data!D50+Data!C50)/2))</f>
        <v>0.39544389948602809</v>
      </c>
      <c r="D99" s="41">
        <f>IF(ISERROR(Data!E115/((Data!E50+Data!D50)/2)),"",Data!E115/((Data!E50+Data!D50)/2))</f>
        <v>0.32131570395125725</v>
      </c>
      <c r="E99" s="41">
        <f>IF(ISERROR(Data!F115/((Data!F50+Data!E50)/2)),"",Data!F115/((Data!F50+Data!E50)/2))</f>
        <v>0.3584420971261848</v>
      </c>
      <c r="F99" s="41">
        <f>IF(ISERROR(Data!G115/((Data!G50+Data!F50)/2)),"",Data!G115/((Data!G50+Data!F50)/2))</f>
        <v>0.3603490377109459</v>
      </c>
      <c r="G99" s="301"/>
      <c r="H99" s="301"/>
      <c r="I99" s="301"/>
      <c r="J99" s="301" t="s">
        <v>311</v>
      </c>
    </row>
    <row r="100" spans="1:10" ht="12.75" customHeight="1" x14ac:dyDescent="0.15">
      <c r="A100" s="349" t="s">
        <v>312</v>
      </c>
      <c r="B100" s="42">
        <f>IF(ISERROR((Data!C83-Data!C79)/(-Data!C79)),"",(Data!C83-Data!C79)/(-Data!C79))</f>
        <v>61.309343434343432</v>
      </c>
      <c r="C100" s="42">
        <f>IF(ISERROR((Data!D83-Data!D79)/(-Data!D79)),"",(Data!D83-Data!D79)/(-Data!D79))</f>
        <v>160.13157894736838</v>
      </c>
      <c r="D100" s="42">
        <f>IF(ISERROR((Data!E83-Data!E79)/(-Data!E79)),"",(Data!E83-Data!E79)/(-Data!E79))</f>
        <v>109.10511363636361</v>
      </c>
      <c r="E100" s="42">
        <f>IF(ISERROR((Data!F83-Data!F79)/(-Data!F79)),"",(Data!F83-Data!F79)/(-Data!F79))</f>
        <v>36.292898103220111</v>
      </c>
      <c r="F100" s="42">
        <f>IF(ISERROR((Data!G83-Data!G79)/(-Data!G79)),"",(Data!G83-Data!G79)/(-Data!G79))</f>
        <v>23.584092126406002</v>
      </c>
      <c r="G100" s="301"/>
      <c r="H100" s="301"/>
      <c r="I100" s="301"/>
      <c r="J100" s="301" t="s">
        <v>313</v>
      </c>
    </row>
    <row r="101" spans="1:10" ht="12.75" customHeight="1" x14ac:dyDescent="0.15">
      <c r="A101" s="349" t="s">
        <v>314</v>
      </c>
      <c r="B101" s="42">
        <f>IF(ISERROR((Data!C83-Data!C79-Data!C76-Data!C82)/-Data!C79),"",(Data!C83-Data!C79-Data!C76-Data!C82)/-Data!C79)</f>
        <v>61.059343434343425</v>
      </c>
      <c r="C101" s="42">
        <f>IF(ISERROR((Data!D83-Data!D79-Data!D76-Data!D82)/-Data!D79),"",(Data!D83-Data!D79-Data!D76-Data!D82)/-Data!D79)</f>
        <v>159.6447368421052</v>
      </c>
      <c r="D101" s="42">
        <f>IF(ISERROR((Data!E83-Data!E79-Data!E76-Data!E82)/-Data!E79),"",(Data!E83-Data!E79-Data!E76-Data!E82)/-Data!E79)</f>
        <v>108.11363636363635</v>
      </c>
      <c r="E101" s="42">
        <f>IF(ISERROR((Data!F83-Data!F79-Data!F76-Data!F82)/-Data!F79),"",(Data!F83-Data!F79-Data!F76-Data!F82)/-Data!F79)</f>
        <v>35.57785619761799</v>
      </c>
      <c r="F101" s="42">
        <f>IF(ISERROR((Data!G83-Data!G79-Data!G76-Data!G82)/-Data!G79),"",(Data!G83-Data!G79-Data!G76-Data!G82)/-Data!G79)</f>
        <v>23.185859667916446</v>
      </c>
      <c r="G101" s="301"/>
      <c r="H101" s="301"/>
      <c r="I101" s="301"/>
      <c r="J101" s="301" t="s">
        <v>315</v>
      </c>
    </row>
    <row r="102" spans="1:10" ht="12.75" customHeight="1" x14ac:dyDescent="0.15">
      <c r="A102" s="301"/>
      <c r="B102" s="37"/>
      <c r="C102" s="37"/>
      <c r="D102" s="37"/>
      <c r="E102" s="37"/>
      <c r="F102" s="37"/>
      <c r="G102" s="301"/>
      <c r="H102" s="301"/>
      <c r="I102" s="301"/>
      <c r="J102" s="301"/>
    </row>
    <row r="103" spans="1:10" ht="12.75" customHeight="1" x14ac:dyDescent="0.15">
      <c r="A103" s="37" t="s">
        <v>271</v>
      </c>
      <c r="B103" s="37"/>
      <c r="C103" s="37"/>
      <c r="D103" s="37"/>
      <c r="E103" s="37"/>
      <c r="F103" s="37"/>
      <c r="G103" s="301"/>
      <c r="H103" s="301"/>
      <c r="I103" s="301"/>
      <c r="J103" s="301"/>
    </row>
    <row r="104" spans="1:10" ht="12.75" customHeight="1" x14ac:dyDescent="0.15">
      <c r="A104" s="349" t="s">
        <v>316</v>
      </c>
      <c r="B104" s="48"/>
      <c r="C104" s="48"/>
      <c r="D104" s="48"/>
      <c r="E104" s="48"/>
      <c r="F104" s="48"/>
      <c r="G104" s="301"/>
      <c r="H104" s="301"/>
      <c r="I104" s="301"/>
      <c r="J104" s="301"/>
    </row>
    <row r="105" spans="1:10" ht="12.75" customHeight="1" x14ac:dyDescent="0.15">
      <c r="A105" s="349" t="s">
        <v>317</v>
      </c>
      <c r="B105" s="50" t="str">
        <f>IF(ISERROR(1.2*(Data!C23-Data!C44)/Data!C33+1.4*(Data!C54/Data!C33)+3.3*((Data!C83-Data!C79)/Data!C33)+0.6*((Data!#REF!*Data!#REF!)/Data!C50)+1*(Data!C65/Data!C33)),"",1.2*(Data!C23-Data!C44)/Data!C33+1.4*(Data!C54/Data!C33)+3.3*((Data!C83-Data!C79)/Data!C33)+0.6*((Data!#REF!*Data!#REF!)/Data!C50)+1*(Data!C65/Data!C33))</f>
        <v/>
      </c>
      <c r="C105" s="50">
        <f>IF(ISERROR(1.2*(Data!D23-Data!D44)/Data!D33+1.4*(Data!D54/Data!D33)+3.3*((Data!D83-Data!D79)/Data!D33)+0.6*((Data!D147*Data!D150)/Data!D50)+1*(Data!D65/Data!D33)),"",1.2*(Data!D23-Data!D44)/Data!D33+1.4*(Data!D54/Data!D33)+3.3*((Data!D83-Data!D79)/Data!D33)+0.6*((Data!D147*Data!D150)/Data!D50)+1*(Data!D65/Data!D33))</f>
        <v>6896871.1279025516</v>
      </c>
      <c r="D105" s="50">
        <f>IF(ISERROR(1.2*(Data!E23-Data!E44)/Data!E33+1.4*(Data!E54/Data!E33)+3.3*((Data!E83-Data!E79)/Data!E33)+0.6*((Data!E147*Data!E150)/Data!E50)+1*(Data!E65/Data!E33)),"",1.2*(Data!E23-Data!E44)/Data!E33+1.4*(Data!E54/Data!E33)+3.3*((Data!E83-Data!E79)/Data!E33)+0.6*((Data!E147*Data!E150)/Data!E50)+1*(Data!E65/Data!E33))</f>
        <v>5449415.367063662</v>
      </c>
      <c r="E105" s="50">
        <f>IF(ISERROR(1.2*(Data!F23-Data!F44)/Data!F33+1.4*(Data!F54/Data!F33)+3.3*((Data!F83-Data!F79)/Data!F33)+0.6*((Data!F147*Data!F150)/Data!F50)+1*(Data!F65/Data!F33)),"",1.2*(Data!F23-Data!F44)/Data!F33+1.4*(Data!F54/Data!F33)+3.3*((Data!F83-Data!F79)/Data!F33)+0.6*((Data!F147*Data!F150)/Data!F50)+1*(Data!F65/Data!F33))</f>
        <v>6348746.83295359</v>
      </c>
      <c r="F105" s="50">
        <f>IF(ISERROR(1.2*(Data!G23-Data!G44)/Data!G33+1.4*(Data!G54/Data!G33)+3.3*((Data!G83-Data!G79)/Data!G33)+0.6*((Data!G147*Data!G150)/Data!G50)+1*(Data!G65/Data!G33)),"",1.2*(Data!G23-Data!G44)/Data!G33+1.4*(Data!G54/Data!G33)+3.3*((Data!G83-Data!G79)/Data!G33)+0.6*((Data!G147*Data!G150)/Data!G50)+1*(Data!G65/Data!G33))</f>
        <v>4720652.195893799</v>
      </c>
      <c r="G105" s="301"/>
      <c r="H105" s="301"/>
      <c r="I105" s="301"/>
      <c r="J105" s="301" t="s">
        <v>318</v>
      </c>
    </row>
    <row r="106" spans="1:10" ht="12.75" customHeight="1" x14ac:dyDescent="0.15">
      <c r="A106" s="349" t="s">
        <v>319</v>
      </c>
      <c r="B106" s="52" t="str">
        <f>IF(ISERROR(NORMSDIST(1-B105)),"",NORMSDIST(1-B105))</f>
        <v/>
      </c>
      <c r="C106" s="52">
        <f>IF(ISERROR(NORMSDIST(1-C105)),"",NORMSDIST(1-C105))</f>
        <v>0</v>
      </c>
      <c r="D106" s="52">
        <f>IF(ISERROR(NORMSDIST(1-D105)),"",NORMSDIST(1-D105))</f>
        <v>0</v>
      </c>
      <c r="E106" s="52">
        <f>IF(ISERROR(NORMSDIST(1-E105)),"",NORMSDIST(1-E105))</f>
        <v>0</v>
      </c>
      <c r="F106" s="52">
        <f>IF(ISERROR(NORMSDIST(1-F105)),"",NORMSDIST(1-F105))</f>
        <v>0</v>
      </c>
      <c r="G106" s="301"/>
      <c r="H106" s="301"/>
      <c r="I106" s="301"/>
      <c r="J106" s="301" t="s">
        <v>320</v>
      </c>
    </row>
    <row r="107" spans="1:10" ht="12.75" customHeight="1" x14ac:dyDescent="0.15">
      <c r="A107" s="349" t="s">
        <v>321</v>
      </c>
      <c r="B107" s="52"/>
      <c r="C107" s="52"/>
      <c r="D107" s="52"/>
      <c r="E107" s="52"/>
      <c r="F107" s="52"/>
      <c r="G107" s="301"/>
      <c r="H107" s="301"/>
      <c r="I107" s="301"/>
      <c r="J107" s="301"/>
    </row>
    <row r="108" spans="1:10" ht="12.75" customHeight="1" x14ac:dyDescent="0.15">
      <c r="A108" s="349" t="s">
        <v>322</v>
      </c>
      <c r="B108" s="50" t="str">
        <f>IF(ISERROR(-4.84+0.92*((Data!C18/Data!C65)/(Data!B18/Data!B65))+0.528*((Data!B67/Data!B65)/(Data!C67/Data!C65))+0.404*(((Data!C26+Data!C28+Data!C31+Data!C32)/Data!C33)/((Data!B26+Data!B28+Data!B31+Data!B32)/Data!B33))+0.892*(Data!C65/Data!B65)+0.115*((Data!B100/(Data!#REF!+Data!B25+Data!B100))/(Data!C100/(Data!#REF!+Data!C25+Data!C100)))-0.172*((-Data!C68/Data!C65)/(-Data!B68/Data!B65))-0.327*(((Data!C44+Data!C45)/Data!C60)/((Data!B44+Data!B45)/Data!B60))+4.67*((Data!C83+Data!C84-Data!C115)/Data!C33)),"",-4.84+0.92*((Data!C18/Data!C65)/(Data!B18/Data!B65))+0.528*((Data!B67/Data!B65)/(Data!C67/Data!C65))+0.404*(((Data!C26+Data!C28+Data!C31+Data!C32)/Data!C33)/((Data!B26+Data!B28+Data!B31+Data!B32)/Data!B33))+0.892*(Data!C65/Data!B65)+0.115*((Data!B100/(Data!#REF!+Data!B25+Data!B100))/(Data!C100/(Data!#REF!+Data!C25+Data!C100)))-0.172*((-Data!C68/Data!C65)/(-Data!B68/Data!B65))-0.327*(((Data!C44+Data!C45)/Data!C60)/((Data!B44+Data!B45)/Data!B60))+4.67*((Data!C83+Data!C84-Data!C115)/Data!C33))</f>
        <v/>
      </c>
      <c r="C108" s="50" t="str">
        <f>IF(ISERROR(-4.84+0.92*((Data!D18/Data!D65)/(Data!C18/Data!C65))+0.528*((Data!C67/Data!C65)/(Data!D67/Data!D65))+0.404*(((Data!D28+Data!D29+Data!D31+Data!D32)/Data!D33)/((Data!C26+Data!C28+Data!C31+Data!C32)/Data!C33))+0.892*(Data!D65/Data!C65)+0.115*((Data!C100/(Data!#REF!+Data!C25+Data!C100))/(Data!D100/(Data!D25+Data!D26+Data!D100)))-0.172*((-Data!D68/Data!D65)/(-Data!C68/Data!C65))-0.327*(((Data!D44+Data!D45)/Data!D60)/((Data!C44+Data!C45)/Data!C60))+4.67*((Data!D83+Data!D84-Data!D115)/Data!D33)),"",-4.84+0.92*((Data!D18/Data!D65)/(Data!C18/Data!C65))+0.528*((Data!C67/Data!C65)/(Data!D67/Data!D65))+0.404*(((Data!D28+Data!D29+Data!D31+Data!D32)/Data!D33)/((Data!C26+Data!C28+Data!C31+Data!C32)/Data!C33))+0.892*(Data!D65/Data!C65)+0.115*((Data!C100/(Data!#REF!+Data!C25+Data!C100))/(Data!D100/(Data!D25+Data!D26+Data!D100)))-0.172*((-Data!D68/Data!D65)/(-Data!C68/Data!C65))-0.327*(((Data!D44+Data!D45)/Data!D60)/((Data!C44+Data!C45)/Data!C60))+4.67*((Data!D83+Data!D84-Data!D115)/Data!D33))</f>
        <v/>
      </c>
      <c r="D108" s="50">
        <f>IF(ISERROR(-4.84+0.92*((Data!E18/Data!E65)/(Data!D18/Data!D65))+0.528*((Data!D67/Data!D65)/(Data!E67/Data!E65))+0.404*(((Data!E28+Data!E29+Data!E31+Data!E32)/Data!E33)/((Data!D28+Data!D29+Data!D31+Data!D32)/Data!D33))+0.892*(Data!E65/Data!D65)+0.115*((Data!D100/(Data!D25+Data!D26+Data!D100))/(Data!E100/(Data!E25+Data!E26+Data!E100)))-0.172*((-Data!E68/Data!E65)/(-Data!D68/Data!D65))-0.327*(((Data!E44+Data!E45)/Data!E60)/((Data!D44+Data!D45)/Data!D60))+4.67*((Data!E83+Data!E84-Data!E115)/Data!E33)),"",-4.84+0.92*((Data!E18/Data!E65)/(Data!D18/Data!D65))+0.528*((Data!D67/Data!D65)/(Data!E67/Data!E65))+0.404*(((Data!E28+Data!E29+Data!E31+Data!E32)/Data!E33)/((Data!D28+Data!D29+Data!D31+Data!D32)/Data!D33))+0.892*(Data!E65/Data!D65)+0.115*((Data!D100/(Data!D25+Data!D26+Data!D100))/(Data!E100/(Data!E25+Data!E26+Data!E100)))-0.172*((-Data!E68/Data!E65)/(-Data!D68/Data!D65))-0.327*(((Data!E44+Data!E45)/Data!E60)/((Data!D44+Data!D45)/Data!D60))+4.67*((Data!E83+Data!E84-Data!E115)/Data!E33))</f>
        <v>-2.3241187726082364</v>
      </c>
      <c r="E108" s="50">
        <f>IF(ISERROR(-4.84+0.92*((Data!F18/Data!F65)/(Data!E18/Data!E65))+0.528*((Data!E67/Data!E65)/(Data!F67/Data!F65))+0.404*(((Data!F28+Data!F29+Data!F31+Data!F32)/Data!F33)/((Data!E28+Data!E29+Data!E31+Data!E32)/Data!E33))+0.892*(Data!F65/Data!E65)+0.115*((Data!E100/(Data!E25+Data!E26+Data!E100))/(Data!F100/(Data!F25+Data!F26+Data!F100)))-0.172*((-Data!F68/Data!F65)/(-Data!E68/Data!E65))-0.327*(((Data!F44+Data!F45)/Data!F60)/((Data!E44+Data!E45)/Data!E60))+4.67*((Data!F83+Data!F84-Data!F115)/Data!F33)),"",-4.84+0.92*((Data!F18/Data!F65)/(Data!E18/Data!E65))+0.528*((Data!E67/Data!E65)/(Data!F67/Data!F65))+0.404*(((Data!F28+Data!F29+Data!F31+Data!F32)/Data!F33)/((Data!E28+Data!E29+Data!E31+Data!E32)/Data!E33))+0.892*(Data!F65/Data!E65)+0.115*((Data!E100/(Data!E25+Data!E26+Data!E100))/(Data!F100/(Data!F25+Data!F26+Data!F100)))-0.172*((-Data!F68/Data!F65)/(-Data!E68/Data!E65))-0.327*(((Data!F44+Data!F45)/Data!F60)/((Data!E44+Data!E45)/Data!E60))+4.67*((Data!F83+Data!F84-Data!F115)/Data!F33))</f>
        <v>-2.592817480170186</v>
      </c>
      <c r="F108" s="50">
        <f>IF(ISERROR(-4.84+0.92*((Data!G18/Data!G65)/(Data!F18/Data!F65))+0.528*((Data!F67/Data!F65)/(Data!G67/Data!G65))+0.404*(((Data!G28+Data!G29+Data!G31+Data!G32)/Data!G33)/((Data!F28+Data!F29+Data!F31+Data!F32)/Data!F33))+0.892*(Data!G65/Data!F65)+0.115*((Data!F100/(Data!F25+Data!F26+Data!F100))/(Data!G100/(Data!G25+Data!G26+Data!G100)))-0.172*((-Data!G68/Data!G65)/(-Data!F68/Data!F65))-0.327*(((Data!G44+Data!G45)/Data!G60)/((Data!F44+Data!F45)/Data!F60))+4.67*((Data!G83+Data!G84-Data!G115)/Data!G33)),"",-4.84+0.92*((Data!G18/Data!G65)/(Data!F18/Data!F65))+0.528*((Data!F67/Data!F65)/(Data!G67/Data!G65))+0.404*(((Data!G28+Data!G29+Data!G31+Data!G32)/Data!G33)/((Data!F28+Data!F29+Data!F31+Data!F32)/Data!F33))+0.892*(Data!G65/Data!F65)+0.115*((Data!F100/(Data!F25+Data!F26+Data!F100))/(Data!G100/(Data!G25+Data!G26+Data!G100)))-0.172*((-Data!G68/Data!G65)/(-Data!F68/Data!F65))-0.327*(((Data!G44+Data!G45)/Data!G60)/((Data!F44+Data!F45)/Data!F60))+4.67*((Data!G83+Data!G84-Data!G115)/Data!G33))</f>
        <v>-2.5094645267010094</v>
      </c>
      <c r="G108" s="301"/>
      <c r="H108" s="301"/>
      <c r="I108" s="301"/>
      <c r="J108" s="301" t="s">
        <v>323</v>
      </c>
    </row>
    <row r="109" spans="1:10" ht="12.75" customHeight="1" x14ac:dyDescent="0.15">
      <c r="A109" s="349" t="s">
        <v>324</v>
      </c>
      <c r="B109" s="52" t="str">
        <f>IF(ISERROR(NORMSDIST(B108)),"",NORMSDIST(B108))</f>
        <v/>
      </c>
      <c r="C109" s="52" t="str">
        <f>IF(ISERROR(NORMSDIST(C108)),"",NORMSDIST(C108))</f>
        <v/>
      </c>
      <c r="D109" s="52">
        <f>IF(ISERROR(NORMSDIST(D108)),"",NORMSDIST(D108))</f>
        <v>1.0059564586630862E-2</v>
      </c>
      <c r="E109" s="52">
        <f>IF(ISERROR(NORMSDIST(E108)),"",NORMSDIST(E108))</f>
        <v>4.7596637601103834E-3</v>
      </c>
      <c r="F109" s="52">
        <f>IF(ISERROR(NORMSDIST(F108)),"",NORMSDIST(F108))</f>
        <v>6.0457179738035065E-3</v>
      </c>
      <c r="G109" s="301"/>
      <c r="H109" s="301"/>
      <c r="I109" s="301"/>
      <c r="J109" s="301" t="s">
        <v>325</v>
      </c>
    </row>
    <row r="110" spans="1:10" ht="12.75" customHeight="1" x14ac:dyDescent="0.15">
      <c r="A110" s="301"/>
      <c r="B110" s="37"/>
      <c r="C110" s="37"/>
      <c r="D110" s="37"/>
      <c r="E110" s="37"/>
      <c r="F110" s="37"/>
      <c r="G110" s="301"/>
      <c r="H110" s="301"/>
      <c r="I110" s="301"/>
      <c r="J110" s="301"/>
    </row>
    <row r="111" spans="1:10" ht="12.75" customHeight="1" x14ac:dyDescent="0.15">
      <c r="A111" s="37" t="s">
        <v>326</v>
      </c>
      <c r="B111" s="37"/>
      <c r="C111" s="37"/>
      <c r="D111" s="37"/>
      <c r="E111" s="37"/>
      <c r="F111" s="37"/>
      <c r="G111" s="301"/>
      <c r="H111" s="301"/>
      <c r="I111" s="301"/>
      <c r="J111" s="301"/>
    </row>
    <row r="112" spans="1:10" ht="12.75" customHeight="1" x14ac:dyDescent="0.15">
      <c r="A112" s="349" t="s">
        <v>327</v>
      </c>
      <c r="B112" s="53" t="str">
        <f>IF(ISERROR((Data!#REF!+Data!C149)/Data!#REF!-1),"",(Data!#REF!+Data!C149)/Data!#REF!-1)</f>
        <v/>
      </c>
      <c r="C112" s="53" t="str">
        <f>IF(ISERROR((Data!D150+Data!D149)/Data!#REF!-1),"",(Data!D150+Data!D149)/Data!#REF!-1)</f>
        <v/>
      </c>
      <c r="D112" s="53">
        <f>IF(ISERROR((Data!E150+Data!E149)/Data!D150-1),"",(Data!E150+Data!E149)/Data!D150-1)</f>
        <v>-0.19990405318120197</v>
      </c>
      <c r="E112" s="53">
        <f>IF(ISERROR((Data!F150+Data!F149)/Data!E150-1),"",(Data!F150+Data!F149)/Data!E150-1)</f>
        <v>0.35086932375982571</v>
      </c>
      <c r="F112" s="53">
        <f>IF(ISERROR((Data!G150+Data!G149)/Data!F150-1),"",(Data!G150+Data!G149)/Data!F150-1)</f>
        <v>-0.24142903191939957</v>
      </c>
      <c r="G112" s="301"/>
      <c r="H112" s="301"/>
      <c r="I112" s="301"/>
      <c r="J112" s="301" t="s">
        <v>328</v>
      </c>
    </row>
    <row r="113" spans="1:13" ht="12.75" customHeight="1" x14ac:dyDescent="0.15">
      <c r="A113" s="349" t="s">
        <v>329</v>
      </c>
      <c r="B113" s="42" t="str">
        <f>IF(ISERROR(Data!#REF!/Data!#REF!),"",Data!#REF!/Data!#REF!)</f>
        <v/>
      </c>
      <c r="C113" s="42">
        <f>IF(ISERROR(Data!D150/Data!D148),"",Data!D150/Data!D148)</f>
        <v>50.600728155339802</v>
      </c>
      <c r="D113" s="42">
        <f>IF(ISERROR(Data!E150/Data!E148),"",Data!E150/Data!E148)</f>
        <v>31.323943661971832</v>
      </c>
      <c r="E113" s="42">
        <f>IF(ISERROR(Data!F150/Data!F148),"",Data!F150/Data!F148)</f>
        <v>39.017316017316013</v>
      </c>
      <c r="F113" s="42">
        <f>IF(ISERROR(Data!G150/Data!G148),"",Data!G150/Data!G148)</f>
        <v>28.511259382819016</v>
      </c>
      <c r="G113" s="301"/>
      <c r="H113" s="301"/>
      <c r="I113" s="301"/>
      <c r="J113" s="301" t="s">
        <v>330</v>
      </c>
      <c r="K113" s="301"/>
      <c r="L113" s="301"/>
      <c r="M113" s="301"/>
    </row>
    <row r="114" spans="1:13" ht="12.75" customHeight="1" x14ac:dyDescent="0.15">
      <c r="A114" s="349" t="s">
        <v>331</v>
      </c>
      <c r="B114" s="42" t="str">
        <f>IF(ISERROR(Data!#REF!/(Data!#REF!-Data!C144/Data!#REF!)),"",Data!#REF!/(Data!#REF!-Data!C144/Data!#REF!))</f>
        <v/>
      </c>
      <c r="C114" s="42">
        <f>IF(ISERROR(Data!D150/(Data!D148-Data!D144/Data!D147)),"",Data!D150/(Data!D148-Data!D144/Data!D147))</f>
        <v>50.600728374405584</v>
      </c>
      <c r="D114" s="42">
        <f>IF(ISERROR(Data!E150/(Data!E148-Data!E144/Data!E147)),"",Data!E150/(Data!E148-Data!E144/Data!E147))</f>
        <v>31.323944053264423</v>
      </c>
      <c r="E114" s="42">
        <f>IF(ISERROR(Data!F150/(Data!F148-Data!F144/Data!F147)),"",Data!F150/(Data!F148-Data!F144/Data!F147))</f>
        <v>39.017317042644592</v>
      </c>
      <c r="F114" s="42">
        <f>IF(ISERROR(Data!G150/(Data!G148-Data!G144/Data!G147)),"",Data!G150/(Data!G148-Data!G144/Data!G147))</f>
        <v>28.511260038812864</v>
      </c>
      <c r="G114" s="301"/>
      <c r="H114" s="301"/>
      <c r="I114" s="301"/>
      <c r="J114" s="301" t="s">
        <v>332</v>
      </c>
      <c r="K114" s="301"/>
      <c r="L114" s="301"/>
      <c r="M114" s="301"/>
    </row>
    <row r="115" spans="1:13" ht="12.75" customHeight="1" x14ac:dyDescent="0.15">
      <c r="A115" s="349" t="s">
        <v>333</v>
      </c>
      <c r="B115" s="42" t="str">
        <f>IF(ISERROR((Data!#REF!*Data!#REF!)/Data!C57),"",(Data!#REF!*Data!#REF!)/Data!C57)</f>
        <v/>
      </c>
      <c r="C115" s="42">
        <f>IF(ISERROR((Data!D147*Data!D150)/Data!D57),"",(Data!D147*Data!D150)/Data!D57)</f>
        <v>6863459.0742147025</v>
      </c>
      <c r="D115" s="42">
        <f>IF(ISERROR((Data!E147*Data!E150)/Data!E57),"",(Data!E147*Data!E150)/Data!E57)</f>
        <v>6569098.2608753247</v>
      </c>
      <c r="E115" s="42">
        <f>IF(ISERROR((Data!F147*Data!F150)/Data!F57),"",(Data!F147*Data!F150)/Data!F57)</f>
        <v>8288186.0092985574</v>
      </c>
      <c r="F115" s="42">
        <f>IF(ISERROR((Data!G147*Data!G150)/Data!G57),"",(Data!G147*Data!G150)/Data!G57)</f>
        <v>5512718.7566240001</v>
      </c>
      <c r="G115" s="301"/>
      <c r="H115" s="301"/>
      <c r="I115" s="301"/>
      <c r="J115" s="301" t="s">
        <v>334</v>
      </c>
      <c r="K115" s="301"/>
      <c r="L115" s="301"/>
      <c r="M115" s="301"/>
    </row>
    <row r="116" spans="1:13" ht="12.75" customHeight="1" x14ac:dyDescent="0.15">
      <c r="A116" s="349" t="s">
        <v>335</v>
      </c>
      <c r="B116" s="268">
        <f>Data!C149</f>
        <v>3.9126829763353945E-6</v>
      </c>
      <c r="C116" s="268">
        <f>Data!D149</f>
        <v>4.3930625733033132E-6</v>
      </c>
      <c r="D116" s="268">
        <f>Data!E149</f>
        <v>5.0260977965287553E-6</v>
      </c>
      <c r="E116" s="268">
        <f>Data!F149</f>
        <v>6.4062779129795524E-6</v>
      </c>
      <c r="F116" s="268">
        <f>Data!G149</f>
        <v>6.7655224998203813E-6</v>
      </c>
      <c r="G116" s="301"/>
      <c r="H116" s="301"/>
      <c r="I116" s="301"/>
      <c r="J116" s="301"/>
      <c r="K116" s="301"/>
      <c r="L116" s="301"/>
      <c r="M116" s="301"/>
    </row>
    <row r="117" spans="1:13" ht="12.75" customHeight="1" x14ac:dyDescent="0.15">
      <c r="A117" s="349" t="s">
        <v>336</v>
      </c>
      <c r="B117" s="53">
        <f>Data!C129/Data!C90</f>
        <v>-0.61330421636149846</v>
      </c>
      <c r="C117" s="53">
        <f>Data!D129/Data!D90</f>
        <v>-0.51051592038721161</v>
      </c>
      <c r="D117" s="53">
        <f>Data!E129/Data!E90</f>
        <v>-0.47037736508935768</v>
      </c>
      <c r="E117" s="53">
        <f>Data!F129/Data!F90</f>
        <v>-0.55278360497014711</v>
      </c>
      <c r="F117" s="53">
        <f>Data!G129/Data!G90</f>
        <v>-0.5627179327521793</v>
      </c>
      <c r="G117" s="301"/>
      <c r="H117" s="301"/>
      <c r="I117" s="301"/>
      <c r="J117" s="301"/>
      <c r="K117" s="301"/>
      <c r="L117" s="301"/>
      <c r="M117" s="301"/>
    </row>
    <row r="118" spans="1:13" ht="12.75" customHeight="1" x14ac:dyDescent="0.15">
      <c r="A118" s="349" t="s">
        <v>337</v>
      </c>
      <c r="B118" s="53">
        <f>Data!C149/Data!C150</f>
        <v>1.2589070065429196E-8</v>
      </c>
      <c r="C118" s="53">
        <f>Data!D149/Data!D150</f>
        <v>1.0536185569740528E-8</v>
      </c>
      <c r="D118" s="53">
        <f>Data!E149/Data!E150</f>
        <v>1.5066240397268449E-8</v>
      </c>
      <c r="E118" s="53">
        <f>Data!F149/Data!F150</f>
        <v>1.4215639438543333E-8</v>
      </c>
      <c r="F118" s="53">
        <f>Data!G149/Data!G150</f>
        <v>1.9790909755215389E-8</v>
      </c>
      <c r="G118" s="301"/>
      <c r="H118" s="301"/>
      <c r="I118" s="301"/>
      <c r="J118" s="301"/>
      <c r="K118" s="301"/>
      <c r="L118" s="301"/>
      <c r="M118" s="301"/>
    </row>
    <row r="119" spans="1:13" ht="12.75" customHeight="1" x14ac:dyDescent="0.15">
      <c r="A119" s="299"/>
      <c r="B119" s="299"/>
      <c r="C119" s="299"/>
      <c r="D119" s="299"/>
      <c r="E119" s="299"/>
      <c r="F119" s="299"/>
      <c r="G119" s="301"/>
      <c r="H119" s="301"/>
      <c r="I119" s="301"/>
      <c r="J119" s="301"/>
      <c r="K119" s="301"/>
      <c r="L119" s="301"/>
      <c r="M119" s="301"/>
    </row>
    <row r="120" spans="1:13" ht="12.75" customHeight="1" thickBot="1" x14ac:dyDescent="0.2">
      <c r="A120" s="301"/>
      <c r="B120" s="299"/>
      <c r="C120" s="299"/>
      <c r="D120" s="299"/>
      <c r="E120" s="299"/>
      <c r="F120" s="299"/>
      <c r="G120" s="301"/>
      <c r="H120" s="301"/>
      <c r="I120" s="301"/>
      <c r="J120" s="301"/>
      <c r="K120" s="301"/>
      <c r="L120" s="54"/>
      <c r="M120" s="54"/>
    </row>
    <row r="121" spans="1:13" ht="12.75" customHeight="1" thickBot="1" x14ac:dyDescent="0.2">
      <c r="A121" s="49" t="s">
        <v>338</v>
      </c>
      <c r="B121" s="381"/>
      <c r="C121" s="381"/>
      <c r="D121" s="381"/>
      <c r="E121" s="381"/>
      <c r="F121" s="382"/>
      <c r="G121" s="301"/>
      <c r="H121" s="301"/>
      <c r="I121" s="301"/>
      <c r="J121" s="37" t="s">
        <v>339</v>
      </c>
      <c r="K121" s="301"/>
      <c r="L121" s="301"/>
      <c r="M121" s="301"/>
    </row>
    <row r="122" spans="1:13" ht="12.75" customHeight="1" thickBot="1" x14ac:dyDescent="0.2">
      <c r="A122" s="38" t="s">
        <v>207</v>
      </c>
      <c r="B122" s="39">
        <f>Data!$C$11</f>
        <v>2020</v>
      </c>
      <c r="C122" s="39">
        <f>Data!$D$11</f>
        <v>2021</v>
      </c>
      <c r="D122" s="39">
        <f>Data!$E$11</f>
        <v>2022</v>
      </c>
      <c r="E122" s="39">
        <f>Data!$F$11</f>
        <v>2023</v>
      </c>
      <c r="F122" s="39">
        <f>Data!$G$11</f>
        <v>2024</v>
      </c>
      <c r="G122" s="301"/>
      <c r="H122" s="301"/>
      <c r="I122" s="301"/>
      <c r="J122" s="301"/>
      <c r="K122" s="301"/>
      <c r="L122" s="301"/>
      <c r="M122" s="301"/>
    </row>
    <row r="123" spans="1:13" ht="12.75" customHeight="1" x14ac:dyDescent="0.15">
      <c r="A123" s="35"/>
      <c r="B123" s="299"/>
      <c r="C123" s="299"/>
      <c r="D123" s="299"/>
      <c r="E123" s="299"/>
      <c r="F123" s="299"/>
      <c r="G123" s="301"/>
      <c r="H123" s="301"/>
      <c r="I123" s="301"/>
      <c r="J123" s="301"/>
      <c r="K123" s="301"/>
      <c r="L123" s="301"/>
      <c r="M123" s="301"/>
    </row>
    <row r="124" spans="1:13" ht="12.75" customHeight="1" x14ac:dyDescent="0.15">
      <c r="A124" s="260" t="str">
        <f>Data!A65</f>
        <v>Net sales</v>
      </c>
      <c r="B124" s="261">
        <f>IF(Data!C65/Data!C$65=0,"",Data!C65/Data!C$65)</f>
        <v>1</v>
      </c>
      <c r="C124" s="261">
        <f>IF(Data!D65/Data!D$65=0,"",Data!D65/Data!D$65)</f>
        <v>1</v>
      </c>
      <c r="D124" s="261">
        <f>IF(Data!E65/Data!E$65=0,"",Data!E65/Data!E$65)</f>
        <v>1</v>
      </c>
      <c r="E124" s="261">
        <f>IF(Data!F65/Data!F$65=0,"",Data!F65/Data!F$65)</f>
        <v>1</v>
      </c>
      <c r="F124" s="261">
        <f>IF(Data!G65/Data!G$65=0,"",Data!G65/Data!G$65)</f>
        <v>1</v>
      </c>
      <c r="G124" s="301"/>
      <c r="H124" s="301"/>
      <c r="I124" s="301"/>
      <c r="J124" s="301" t="s">
        <v>340</v>
      </c>
      <c r="K124" s="301"/>
      <c r="L124" s="54"/>
      <c r="M124" s="54"/>
    </row>
    <row r="125" spans="1:13" ht="12.75" customHeight="1" x14ac:dyDescent="0.15">
      <c r="A125" s="349" t="str">
        <f>Data!A66</f>
        <v>&lt;Cost of goods sold&gt;</v>
      </c>
      <c r="B125" s="383">
        <f>IF(Data!C66/Data!C$65=0,"",Data!C66/Data!C$65)</f>
        <v>-0.2690866351577767</v>
      </c>
      <c r="C125" s="383">
        <f>IF(Data!D66/Data!D$65=0,"",Data!D66/Data!D$65)</f>
        <v>-0.26119315155044043</v>
      </c>
      <c r="D125" s="383">
        <f>IF(Data!E66/Data!E$65=0,"",Data!E66/Data!E$65)</f>
        <v>-0.27645672049053072</v>
      </c>
      <c r="E125" s="383">
        <f>IF(Data!F66/Data!F$65=0,"",Data!F66/Data!F$65)</f>
        <v>-0.26144600254962669</v>
      </c>
      <c r="F125" s="383">
        <f>IF(Data!G66/Data!G$65=0,"",Data!G66/Data!G$65)</f>
        <v>-0.25817029535399244</v>
      </c>
      <c r="G125" s="301"/>
      <c r="H125" s="301"/>
      <c r="I125" s="301"/>
      <c r="J125" s="301"/>
      <c r="K125" s="301"/>
      <c r="L125" s="301"/>
      <c r="M125" s="301"/>
    </row>
    <row r="126" spans="1:13" ht="12.75" customHeight="1" x14ac:dyDescent="0.15">
      <c r="A126" s="260" t="str">
        <f>Data!A67</f>
        <v xml:space="preserve">  Gross Profit</v>
      </c>
      <c r="B126" s="261">
        <f>IF(Data!C67/Data!C$65=0,"",Data!C67/Data!C$65)</f>
        <v>0.73091336484222336</v>
      </c>
      <c r="C126" s="261">
        <f>IF(Data!D67/Data!D$65=0,"",Data!D67/Data!D$65)</f>
        <v>0.73880684844955957</v>
      </c>
      <c r="D126" s="261">
        <f>IF(Data!E67/Data!E$65=0,"",Data!E67/Data!E$65)</f>
        <v>0.72354327950946917</v>
      </c>
      <c r="E126" s="261">
        <f>IF(Data!F67/Data!F$65=0,"",Data!F67/Data!F$65)</f>
        <v>0.73855399745037331</v>
      </c>
      <c r="F126" s="261">
        <f>IF(Data!G67/Data!G$65=0,"",Data!G67/Data!G$65)</f>
        <v>0.7418297046460075</v>
      </c>
      <c r="G126" s="301"/>
      <c r="H126" s="301"/>
      <c r="I126" s="301"/>
      <c r="J126" s="301"/>
      <c r="K126" s="301"/>
      <c r="L126" s="301"/>
      <c r="M126" s="301"/>
    </row>
    <row r="127" spans="1:13" ht="12.75" customHeight="1" x14ac:dyDescent="0.15">
      <c r="A127" s="349" t="str">
        <f>Data!A68</f>
        <v>&lt;Operating, selling, general and administrative expenses&gt;</v>
      </c>
      <c r="B127" s="383">
        <f>IF(Data!C68/Data!C$65=0,"",Data!C68/Data!C$65)</f>
        <v>-0.20143183255275596</v>
      </c>
      <c r="C127" s="383">
        <f>IF(Data!D68/Data!D$65=0,"",Data!D68/Data!D$65)</f>
        <v>-0.18812795004893521</v>
      </c>
      <c r="D127" s="383">
        <f>IF(Data!E68/Data!E$65=0,"",Data!E68/Data!E$65)</f>
        <v>-0.18370856703763142</v>
      </c>
      <c r="E127" s="383">
        <f>IF(Data!F68/Data!F$65=0,"",Data!F68/Data!F$65)</f>
        <v>-0.18519273963455352</v>
      </c>
      <c r="F127" s="383">
        <f>IF(Data!G68/Data!G$65=0,"",Data!G68/Data!G$65)</f>
        <v>-0.1887630269415087</v>
      </c>
      <c r="G127" s="301"/>
      <c r="H127" s="301"/>
      <c r="I127" s="301"/>
      <c r="J127" s="301"/>
      <c r="K127" s="301"/>
      <c r="L127" s="301"/>
      <c r="M127" s="301"/>
    </row>
    <row r="128" spans="1:13" ht="12.75" customHeight="1" x14ac:dyDescent="0.15">
      <c r="A128" s="349" t="str">
        <f>Data!A69</f>
        <v>&lt;Research and development expenses&gt;</v>
      </c>
      <c r="B128" s="383">
        <f>IF(Data!C69/Data!C$65=0,"",Data!C69/Data!C$65)</f>
        <v>-3.4452577691562979E-2</v>
      </c>
      <c r="C128" s="383">
        <f>IF(Data!D69/Data!D$65=0,"",Data!D69/Data!D$65)</f>
        <v>-3.1860528500105303E-2</v>
      </c>
      <c r="D128" s="383">
        <f>IF(Data!E69/Data!E$65=0,"",Data!E69/Data!E$65)</f>
        <v>-2.9759073302561903E-2</v>
      </c>
      <c r="E128" s="383">
        <f>IF(Data!F69/Data!F$65=0,"",Data!F69/Data!F$65)</f>
        <v>-3.1297274327687731E-2</v>
      </c>
      <c r="F128" s="383">
        <f>IF(Data!G69/Data!G$65=0,"",Data!G69/Data!G$65)</f>
        <v>-3.1151981750784145E-2</v>
      </c>
      <c r="G128" s="301"/>
      <c r="H128" s="301"/>
      <c r="I128" s="301"/>
      <c r="J128" s="301"/>
      <c r="K128" s="301"/>
      <c r="L128" s="301"/>
      <c r="M128" s="301"/>
    </row>
    <row r="129" spans="1:6" ht="12.75" customHeight="1" x14ac:dyDescent="0.15">
      <c r="A129" s="349" t="str">
        <f>Data!A70</f>
        <v xml:space="preserve"> advertising expenses</v>
      </c>
      <c r="B129" s="383">
        <f>IF(Data!C70/Data!C$65=0,"",Data!C70/Data!C$65)</f>
        <v>-0.30894073685075435</v>
      </c>
      <c r="C129" s="383">
        <f>IF(Data!D70/Data!D$65=0,"",Data!D70/Data!D$65)</f>
        <v>-0.32802066427978543</v>
      </c>
      <c r="D129" s="383">
        <f>IF(Data!E70/Data!E$65=0,"",Data!E70/Data!E$65)</f>
        <v>-0.31518062968170912</v>
      </c>
      <c r="E129" s="383">
        <f>IF(Data!F70/Data!F$65=0,"",Data!F70/Data!F$65)</f>
        <v>-0.32432708067747223</v>
      </c>
      <c r="F129" s="383">
        <f>IF(Data!G70/Data!G$65=0,"",Data!G70/Data!G$65)</f>
        <v>-0.3221414314228685</v>
      </c>
    </row>
    <row r="130" spans="1:6" ht="12.75" customHeight="1" x14ac:dyDescent="0.15">
      <c r="A130" s="349" t="str">
        <f>Data!A72</f>
        <v>&lt;Other operating expenses (1)&gt;</v>
      </c>
      <c r="B130" s="383">
        <f>IF(Data!C72/Data!C$65=0,"",Data!C72/Data!C$65)</f>
        <v>-2.5328574847903518E-2</v>
      </c>
      <c r="C130" s="383">
        <f>IF(Data!D72/Data!D$65=0,"",Data!D72/Data!D$65)</f>
        <v>-1.3379749501356559E-2</v>
      </c>
      <c r="D130" s="383">
        <f>IF(Data!E72/Data!E$65=0,"",Data!E72/Data!E$65)</f>
        <v>-6.311976288923854E-3</v>
      </c>
      <c r="E130" s="383">
        <f>IF(Data!F72/Data!F$65=0,"",Data!F72/Data!F$65)</f>
        <v>-1.0924543191889758E-2</v>
      </c>
      <c r="F130" s="383">
        <f>IF(Data!G72/Data!G$65=0,"",Data!G72/Data!G$65)</f>
        <v>-1.0065123209801593E-2</v>
      </c>
    </row>
    <row r="131" spans="1:6" ht="12.75" customHeight="1" x14ac:dyDescent="0.15">
      <c r="A131" s="349" t="str">
        <f>Data!A73</f>
        <v>&lt;Other operating expenses (2)&gt;</v>
      </c>
      <c r="B131" s="383" t="str">
        <f>IF(Data!C73/Data!C$65=0,"",Data!C73/Data!C$65)</f>
        <v/>
      </c>
      <c r="C131" s="383" t="str">
        <f>IF(Data!D73/Data!D$65=0,"",Data!D73/Data!D$65)</f>
        <v/>
      </c>
      <c r="D131" s="383" t="str">
        <f>IF(Data!E73/Data!E$65=0,"",Data!E73/Data!E$65)</f>
        <v/>
      </c>
      <c r="E131" s="383" t="str">
        <f>IF(Data!F73/Data!F$65=0,"",Data!F73/Data!F$65)</f>
        <v/>
      </c>
      <c r="F131" s="383" t="str">
        <f>IF(Data!G73/Data!G$65=0,"",Data!G73/Data!G$65)</f>
        <v/>
      </c>
    </row>
    <row r="132" spans="1:6" ht="12.75" customHeight="1" x14ac:dyDescent="0.15">
      <c r="A132" s="349" t="str">
        <f>Data!A74</f>
        <v>Other operating income (1)</v>
      </c>
      <c r="B132" s="383" t="str">
        <f>IF(Data!C74/Data!C$65=0,"",Data!C74/Data!C$65)</f>
        <v/>
      </c>
      <c r="C132" s="383" t="str">
        <f>IF(Data!D74/Data!D$65=0,"",Data!D74/Data!D$65)</f>
        <v/>
      </c>
      <c r="D132" s="383" t="str">
        <f>IF(Data!E74/Data!E$65=0,"",Data!E74/Data!E$65)</f>
        <v/>
      </c>
      <c r="E132" s="383" t="str">
        <f>IF(Data!F74/Data!F$65=0,"",Data!F74/Data!F$65)</f>
        <v/>
      </c>
      <c r="F132" s="383" t="str">
        <f>IF(Data!G74/Data!G$65=0,"",Data!G74/Data!G$65)</f>
        <v/>
      </c>
    </row>
    <row r="133" spans="1:6" ht="12.75" customHeight="1" x14ac:dyDescent="0.15">
      <c r="A133" s="349" t="str">
        <f>Data!A75</f>
        <v>Other operating income (2)</v>
      </c>
      <c r="B133" s="383" t="str">
        <f>IF(Data!C75/Data!C$65=0,"",Data!C75/Data!C$65)</f>
        <v/>
      </c>
      <c r="C133" s="383" t="str">
        <f>IF(Data!D75/Data!D$65=0,"",Data!D75/Data!D$65)</f>
        <v/>
      </c>
      <c r="D133" s="383" t="str">
        <f>IF(Data!E75/Data!E$65=0,"",Data!E75/Data!E$65)</f>
        <v/>
      </c>
      <c r="E133" s="383" t="str">
        <f>IF(Data!F75/Data!F$65=0,"",Data!F75/Data!F$65)</f>
        <v/>
      </c>
      <c r="F133" s="383" t="str">
        <f>IF(Data!G75/Data!G$65=0,"",Data!G75/Data!G$65)</f>
        <v/>
      </c>
    </row>
    <row r="134" spans="1:6" ht="12.75" customHeight="1" x14ac:dyDescent="0.15">
      <c r="A134" s="349" t="str">
        <f>Data!A76</f>
        <v>Non-recurring operating gains &lt;losses&gt;</v>
      </c>
      <c r="B134" s="383" t="str">
        <f>IF(Data!C76/Data!C$65=0,"",Data!C76/Data!C$65)</f>
        <v/>
      </c>
      <c r="C134" s="383" t="str">
        <f>IF(Data!D76/Data!D$65=0,"",Data!D76/Data!D$65)</f>
        <v/>
      </c>
      <c r="D134" s="383" t="str">
        <f>IF(Data!E76/Data!E$65=0,"",Data!E76/Data!E$65)</f>
        <v/>
      </c>
      <c r="E134" s="383" t="str">
        <f>IF(Data!F76/Data!F$65=0,"",Data!F76/Data!F$65)</f>
        <v/>
      </c>
      <c r="F134" s="383" t="str">
        <f>IF(Data!G76/Data!G$65=0,"",Data!G76/Data!G$65)</f>
        <v/>
      </c>
    </row>
    <row r="135" spans="1:6" ht="12.75" customHeight="1" x14ac:dyDescent="0.15">
      <c r="A135" s="260" t="str">
        <f>Data!A77</f>
        <v xml:space="preserve">  Operating Profit</v>
      </c>
      <c r="B135" s="261">
        <f>IF(Data!C77/Data!C$65=0,"",Data!C77/Data!C$65)</f>
        <v>0.16075964289924657</v>
      </c>
      <c r="C135" s="261">
        <f>IF(Data!D77/Data!D$65=0,"",Data!D77/Data!D$65)</f>
        <v>0.17741795611937705</v>
      </c>
      <c r="D135" s="261">
        <f>IF(Data!E77/Data!E$65=0,"",Data!E77/Data!E$65)</f>
        <v>0.18858303319864297</v>
      </c>
      <c r="E135" s="261">
        <f>IF(Data!F77/Data!F$65=0,"",Data!F77/Data!F$65)</f>
        <v>0.18681235961877005</v>
      </c>
      <c r="F135" s="261">
        <f>IF(Data!G77/Data!G$65=0,"",Data!G77/Data!G$65)</f>
        <v>0.18970814132104455</v>
      </c>
    </row>
    <row r="136" spans="1:6" ht="12.75" customHeight="1" x14ac:dyDescent="0.15">
      <c r="A136" s="349" t="str">
        <f>Data!A78</f>
        <v>Interest income</v>
      </c>
      <c r="B136" s="383" t="str">
        <f>IF(Data!C78/Data!C$65=0,"",Data!C78/Data!C$65)</f>
        <v/>
      </c>
      <c r="C136" s="383" t="str">
        <f>IF(Data!D78/Data!D$65=0,"",Data!D78/Data!D$65)</f>
        <v/>
      </c>
      <c r="D136" s="383" t="str">
        <f>IF(Data!E78/Data!E$65=0,"",Data!E78/Data!E$65)</f>
        <v/>
      </c>
      <c r="E136" s="383" t="str">
        <f>IF(Data!F78/Data!F$65=0,"",Data!F78/Data!F$65)</f>
        <v/>
      </c>
      <c r="F136" s="383" t="str">
        <f>IF(Data!G78/Data!G$65=0,"",Data!G78/Data!G$65)</f>
        <v/>
      </c>
    </row>
    <row r="137" spans="1:6" ht="12.75" customHeight="1" x14ac:dyDescent="0.15">
      <c r="A137" s="349" t="str">
        <f>Data!A79</f>
        <v>&lt;Interest expense on debt&gt; -interest expense</v>
      </c>
      <c r="B137" s="383">
        <f>IF(Data!C79/Data!C$65=0,"",Data!C79/Data!C$65)</f>
        <v>-2.8293697150267401E-3</v>
      </c>
      <c r="C137" s="383">
        <f>IF(Data!D79/Data!D$65=0,"",Data!D79/Data!D$65)</f>
        <v>-1.1769224098415491E-3</v>
      </c>
      <c r="D137" s="383">
        <f>IF(Data!E79/Data!E$65=0,"",Data!E79/Data!E$65)</f>
        <v>-1.8400129637276992E-3</v>
      </c>
      <c r="E137" s="383">
        <f>IF(Data!F79/Data!F$65=0,"",Data!F79/Data!F$65)</f>
        <v>-5.5047653736417165E-3</v>
      </c>
      <c r="F137" s="383">
        <f>IF(Data!G79/Data!G$65=0,"",Data!G79/Data!G$65)</f>
        <v>-8.5865136087272444E-3</v>
      </c>
    </row>
    <row r="138" spans="1:6" ht="12.75" customHeight="1" x14ac:dyDescent="0.15">
      <c r="A138" s="349" t="str">
        <f>Data!A80</f>
        <v>&lt;Interest on finance leases&gt;</v>
      </c>
      <c r="B138" s="383">
        <f>IF(Data!C80/Data!C$65=0,"",Data!C80/Data!C$65)</f>
        <v>1.3303753559039871E-2</v>
      </c>
      <c r="C138" s="383">
        <f>IF(Data!D80/Data!D$65=0,"",Data!D80/Data!D$65)</f>
        <v>1.1716572306396264E-2</v>
      </c>
      <c r="D138" s="383">
        <f>IF(Data!E80/Data!E$65=0,"",Data!E80/Data!E$65)</f>
        <v>1.2237131670700407E-2</v>
      </c>
      <c r="E138" s="383">
        <f>IF(Data!F80/Data!F$65=0,"",Data!F80/Data!F$65)</f>
        <v>1.0220360590056455E-2</v>
      </c>
      <c r="F138" s="383">
        <f>IF(Data!G80/Data!G$65=0,"",Data!G80/Data!G$65)</f>
        <v>1.0221492498873221E-2</v>
      </c>
    </row>
    <row r="139" spans="1:6" ht="12.75" customHeight="1" x14ac:dyDescent="0.15">
      <c r="A139" s="349" t="str">
        <f>Data!A82</f>
        <v>Other income or gains &lt;Other expenses or losses&gt;</v>
      </c>
      <c r="B139" s="383">
        <f>IF(Data!C82/Data!C$65=0,"",Data!C82/Data!C$65)</f>
        <v>7.0734242875668501E-4</v>
      </c>
      <c r="C139" s="383">
        <f>IF(Data!D82/Data!D$65=0,"",Data!D82/Data!D$65)</f>
        <v>5.7297538373864891E-4</v>
      </c>
      <c r="D139" s="383">
        <f>IF(Data!E82/Data!E$65=0,"",Data!E82/Data!E$65)</f>
        <v>1.8243310350595653E-3</v>
      </c>
      <c r="E139" s="383">
        <f>IF(Data!F82/Data!F$65=0,"",Data!F82/Data!F$65)</f>
        <v>3.9361379226613242E-3</v>
      </c>
      <c r="F139" s="383">
        <f>IF(Data!G82/Data!G$65=0,"",Data!G82/Data!G$65)</f>
        <v>3.4194284242574755E-3</v>
      </c>
    </row>
    <row r="140" spans="1:6" ht="12.75" customHeight="1" x14ac:dyDescent="0.15">
      <c r="A140" s="260" t="str">
        <f>Data!A83</f>
        <v xml:space="preserve">  Income before Tax</v>
      </c>
      <c r="B140" s="261">
        <f>IF(Data!C83/Data!C$65=0,"",Data!C83/Data!C$65)</f>
        <v>0.17063742984627805</v>
      </c>
      <c r="C140" s="261">
        <f>IF(Data!D83/Data!D$65=0,"",Data!D83/Data!D$65)</f>
        <v>0.18728552137662752</v>
      </c>
      <c r="D140" s="261">
        <f>IF(Data!E83/Data!E$65=0,"",Data!E83/Data!E$65)</f>
        <v>0.19891481053616514</v>
      </c>
      <c r="E140" s="261">
        <f>IF(Data!F83/Data!F$65=0,"",Data!F83/Data!F$65)</f>
        <v>0.19427912341407147</v>
      </c>
      <c r="F140" s="261">
        <f>IF(Data!G83/Data!G$65=0,"",Data!G83/Data!G$65)</f>
        <v>0.19391861438413496</v>
      </c>
    </row>
    <row r="141" spans="1:6" ht="12.75" customHeight="1" x14ac:dyDescent="0.15">
      <c r="A141" s="349" t="str">
        <f>Data!A84</f>
        <v>&lt;Income tax expense&gt;</v>
      </c>
      <c r="B141" s="383">
        <f>IF(Data!C84/Data!C$65=0,"",Data!C84/Data!C$65)</f>
        <v>-4.3219336884335227E-2</v>
      </c>
      <c r="C141" s="383">
        <f>IF(Data!D84/Data!D$65=0,"",Data!D84/Data!D$65)</f>
        <v>-4.4766411873288822E-2</v>
      </c>
      <c r="D141" s="383">
        <f>IF(Data!E84/Data!E$65=0,"",Data!E84/Data!E$65)</f>
        <v>-4.9643758853755562E-2</v>
      </c>
      <c r="E141" s="383">
        <f>IF(Data!F84/Data!F$65=0,"",Data!F84/Data!F$65)</f>
        <v>-4.3965276513082012E-2</v>
      </c>
      <c r="F141" s="383">
        <f>IF(Data!G84/Data!G$65=0,"",Data!G84/Data!G$65)</f>
        <v>-4.6338199177681498E-2</v>
      </c>
    </row>
    <row r="142" spans="1:6" ht="12.75" customHeight="1" x14ac:dyDescent="0.15">
      <c r="A142" s="349" t="str">
        <f>Data!A85</f>
        <v>Income &lt;Loss&gt; from discontinued operations</v>
      </c>
      <c r="B142" s="383" t="str">
        <f>IF(Data!C85/Data!C$65=0,"",Data!C85/Data!C$65)</f>
        <v/>
      </c>
      <c r="C142" s="383" t="str">
        <f>IF(Data!D85/Data!D$65=0,"",Data!D85/Data!D$65)</f>
        <v/>
      </c>
      <c r="D142" s="383" t="str">
        <f>IF(Data!E85/Data!E$65=0,"",Data!E85/Data!E$65)</f>
        <v/>
      </c>
      <c r="E142" s="383" t="str">
        <f>IF(Data!F85/Data!F$65=0,"",Data!F85/Data!F$65)</f>
        <v/>
      </c>
      <c r="F142" s="383" t="str">
        <f>IF(Data!G85/Data!G$65=0,"",Data!G85/Data!G$65)</f>
        <v/>
      </c>
    </row>
    <row r="143" spans="1:6" ht="12.75" customHeight="1" x14ac:dyDescent="0.15">
      <c r="A143" s="349" t="str">
        <f>Data!A86</f>
        <v>Extraordinary gains &lt;losses&gt;</v>
      </c>
      <c r="B143" s="383">
        <f>IF(Data!C86/Data!C$65=0,"",Data!C86/Data!C$65)</f>
        <v>3.2151928579849316E-5</v>
      </c>
      <c r="C143" s="383">
        <f>IF(Data!D86/Data!D$65=0,"",Data!D86/Data!D$65)</f>
        <v>1.8582985418550774E-5</v>
      </c>
      <c r="D143" s="383">
        <f>IF(Data!E86/Data!E$65=0,"",Data!E86/Data!E$65)</f>
        <v>3.6591166892312195E-5</v>
      </c>
      <c r="E143" s="383">
        <f>IF(Data!F86/Data!F$65=0,"",Data!F86/Data!F$65)</f>
        <v>4.8564317367814003E-6</v>
      </c>
      <c r="F143" s="383">
        <f>IF(Data!G86/Data!G$65=0,"",Data!G86/Data!G$65)</f>
        <v>-2.9894128793105032E-5</v>
      </c>
    </row>
    <row r="144" spans="1:6" ht="12.75" customHeight="1" x14ac:dyDescent="0.15">
      <c r="A144" s="349" t="str">
        <f>Data!A87</f>
        <v>Changes in accounting principles</v>
      </c>
      <c r="B144" s="383" t="str">
        <f>IF(Data!C87/Data!C$65=0,"",Data!C87/Data!C$65)</f>
        <v/>
      </c>
      <c r="C144" s="383" t="str">
        <f>IF(Data!D87/Data!D$65=0,"",Data!D87/Data!D$65)</f>
        <v/>
      </c>
      <c r="D144" s="383" t="str">
        <f>IF(Data!E87/Data!E$65=0,"",Data!E87/Data!E$65)</f>
        <v/>
      </c>
      <c r="E144" s="383" t="str">
        <f>IF(Data!F87/Data!F$65=0,"",Data!F87/Data!F$65)</f>
        <v/>
      </c>
      <c r="F144" s="383" t="str">
        <f>IF(Data!G87/Data!G$65=0,"",Data!G87/Data!G$65)</f>
        <v/>
      </c>
    </row>
    <row r="145" spans="1:10" ht="12.75" customHeight="1" x14ac:dyDescent="0.15">
      <c r="A145" s="260" t="str">
        <f>Data!A88</f>
        <v xml:space="preserve">  Net Income </v>
      </c>
      <c r="B145" s="261">
        <f>IF(Data!C88/Data!C$65=0,"",Data!C88/Data!C$65)</f>
        <v>0.12745024489052267</v>
      </c>
      <c r="C145" s="261">
        <f>IF(Data!D88/Data!D$65=0,"",Data!D88/Data!D$65)</f>
        <v>0.14253769248875728</v>
      </c>
      <c r="D145" s="261">
        <f>IF(Data!E88/Data!E$65=0,"",Data!E88/Data!E$65)</f>
        <v>0.14930764284930187</v>
      </c>
      <c r="E145" s="261">
        <f>IF(Data!F88/Data!F$65=0,"",Data!F88/Data!F$65)</f>
        <v>0.15031870333272621</v>
      </c>
      <c r="F145" s="261">
        <f>IF(Data!G88/Data!G$65=0,"",Data!G88/Data!G$65)</f>
        <v>0.14755052107766037</v>
      </c>
      <c r="G145" s="301"/>
      <c r="H145" s="301"/>
      <c r="I145" s="301"/>
      <c r="J145" s="301"/>
    </row>
    <row r="146" spans="1:10" ht="12.75" customHeight="1" x14ac:dyDescent="0.15">
      <c r="A146" s="349" t="str">
        <f>Data!A89</f>
        <v>Net income attributable to noncontrolling interests</v>
      </c>
      <c r="B146" s="383">
        <f>IF(Data!C89/Data!C$65=0,"",Data!C89/Data!C$65)</f>
        <v>1.5004233337263014E-4</v>
      </c>
      <c r="C146" s="383">
        <f>IF(Data!D89/Data!D$65=0,"",Data!D89/Data!D$65)</f>
        <v>1.5795537605768159E-4</v>
      </c>
      <c r="D146" s="383">
        <f>IF(Data!E89/Data!E$65=0,"",Data!E89/Data!E$65)</f>
        <v>1.56819286681338E-4</v>
      </c>
      <c r="E146" s="383">
        <f>IF(Data!F89/Data!F$65=0,"",Data!F89/Data!F$65)</f>
        <v>1.578340314453955E-4</v>
      </c>
      <c r="F146" s="383">
        <f>IF(Data!G89/Data!G$65=0,"",Data!G89/Data!G$65)</f>
        <v>1.7246612765252904E-4</v>
      </c>
      <c r="G146" s="384"/>
      <c r="H146" s="301"/>
      <c r="I146" s="301"/>
      <c r="J146" s="301"/>
    </row>
    <row r="147" spans="1:10" ht="12.75" customHeight="1" x14ac:dyDescent="0.15">
      <c r="A147" s="260" t="str">
        <f>Data!A90</f>
        <v xml:space="preserve">  Net Income attributable to common shareholders</v>
      </c>
      <c r="B147" s="261">
        <f>IF(Data!C90/Data!C$65=0,"",Data!C90/Data!C$65)</f>
        <v>0.1276002872238953</v>
      </c>
      <c r="C147" s="261">
        <f>IF(Data!D90/Data!D$65=0,"",Data!D90/Data!D$65)</f>
        <v>0.14269564786481495</v>
      </c>
      <c r="D147" s="261">
        <f>IF(Data!E90/Data!E$65=0,"",Data!E90/Data!E$65)</f>
        <v>0.14946446213598319</v>
      </c>
      <c r="E147" s="261">
        <f>IF(Data!F90/Data!F$65=0,"",Data!F90/Data!F$65)</f>
        <v>0.1504765373641716</v>
      </c>
      <c r="F147" s="261">
        <f>IF(Data!G90/Data!G$65=0,"",Data!G90/Data!G$65)</f>
        <v>0.14772298720531288</v>
      </c>
      <c r="G147" s="301"/>
      <c r="H147" s="301"/>
      <c r="I147" s="301"/>
      <c r="J147" s="301"/>
    </row>
    <row r="148" spans="1:10" ht="12.75" customHeight="1" x14ac:dyDescent="0.15">
      <c r="A148" s="48"/>
      <c r="B148" s="41"/>
      <c r="C148" s="41"/>
      <c r="D148" s="41"/>
      <c r="E148" s="41"/>
      <c r="F148" s="41"/>
      <c r="G148" s="301"/>
      <c r="H148" s="301"/>
      <c r="I148" s="301"/>
      <c r="J148" s="301"/>
    </row>
    <row r="149" spans="1:10" ht="12.75" customHeight="1" x14ac:dyDescent="0.15">
      <c r="A149" s="349" t="str">
        <f>Data!A93</f>
        <v>Other comprehensive income items</v>
      </c>
      <c r="B149" s="383">
        <f>IF(Data!C93/Data!C$65=0,"",Data!C93/Data!C$65)</f>
        <v>-7.435312105915598E-2</v>
      </c>
      <c r="C149" s="383">
        <f>IF(Data!D93/Data!D$65=0,"",Data!D93/Data!D$65)</f>
        <v>6.3315328485238923E-2</v>
      </c>
      <c r="D149" s="383">
        <f>IF(Data!E93/Data!E$65=0,"",Data!E93/Data!E$65)</f>
        <v>2.2524476876996179E-2</v>
      </c>
      <c r="E149" s="383">
        <f>IF(Data!F93/Data!F$65=0,"",Data!F93/Data!F$65)</f>
        <v>-1.7167486189522248E-2</v>
      </c>
      <c r="F149" s="383">
        <f>IF(Data!G93/Data!G$65=0,"",Data!G93/Data!G$65)</f>
        <v>3.2522512578529575E-2</v>
      </c>
      <c r="G149" s="301"/>
      <c r="H149" s="301"/>
      <c r="I149" s="301"/>
      <c r="J149" s="301"/>
    </row>
    <row r="150" spans="1:10" ht="12.75" customHeight="1" x14ac:dyDescent="0.15">
      <c r="A150" s="260" t="str">
        <f>Data!A94</f>
        <v>Comprehensive Income</v>
      </c>
      <c r="B150" s="261">
        <f>IF(Data!C94/Data!C$65=0,"",Data!C94/Data!C$65)</f>
        <v>5.3097123831366701E-2</v>
      </c>
      <c r="C150" s="261">
        <f>IF(Data!D94/Data!D$65=0,"",Data!D94/Data!D$65)</f>
        <v>0.20585302097399619</v>
      </c>
      <c r="D150" s="261">
        <f>IF(Data!E94/Data!E$65=0,"",Data!E94/Data!E$65)</f>
        <v>0.17183211972629805</v>
      </c>
      <c r="E150" s="261">
        <f>IF(Data!F94/Data!F$65=0,"",Data!F94/Data!F$65)</f>
        <v>0.13315121714320396</v>
      </c>
      <c r="F150" s="261">
        <f>IF(Data!G94/Data!G$65=0,"",Data!G94/Data!G$65)</f>
        <v>0.18007303365618993</v>
      </c>
      <c r="G150" s="301"/>
      <c r="H150" s="301"/>
      <c r="I150" s="301"/>
      <c r="J150" s="301"/>
    </row>
    <row r="151" spans="1:10" ht="12.75" customHeight="1" x14ac:dyDescent="0.15">
      <c r="A151" s="258"/>
      <c r="B151" s="259"/>
      <c r="C151" s="259"/>
      <c r="D151" s="259"/>
      <c r="E151" s="259"/>
      <c r="F151" s="259"/>
      <c r="G151" s="301"/>
      <c r="H151" s="301"/>
      <c r="I151" s="301"/>
      <c r="J151" s="301"/>
    </row>
    <row r="152" spans="1:10" ht="12.75" customHeight="1" thickBot="1" x14ac:dyDescent="0.2">
      <c r="A152" s="385"/>
      <c r="B152" s="386"/>
      <c r="C152" s="386"/>
      <c r="D152" s="386"/>
      <c r="E152" s="386"/>
      <c r="F152" s="386"/>
      <c r="G152" s="301"/>
      <c r="H152" s="301"/>
      <c r="I152" s="301"/>
      <c r="J152" s="301"/>
    </row>
    <row r="153" spans="1:10" ht="12.75" customHeight="1" thickBot="1" x14ac:dyDescent="0.2">
      <c r="A153" s="49" t="s">
        <v>341</v>
      </c>
      <c r="B153" s="381"/>
      <c r="C153" s="381"/>
      <c r="D153" s="381"/>
      <c r="E153" s="381"/>
      <c r="F153" s="381"/>
      <c r="G153" s="382"/>
      <c r="H153" s="301"/>
      <c r="I153" s="301"/>
      <c r="J153" s="37" t="s">
        <v>342</v>
      </c>
    </row>
    <row r="154" spans="1:10" ht="12.75" customHeight="1" thickBot="1" x14ac:dyDescent="0.2">
      <c r="A154" s="38" t="s">
        <v>207</v>
      </c>
      <c r="B154" s="39">
        <f>Data!$C$11</f>
        <v>2020</v>
      </c>
      <c r="C154" s="39">
        <f>Data!$D$11</f>
        <v>2021</v>
      </c>
      <c r="D154" s="39">
        <f>Data!$E$11</f>
        <v>2022</v>
      </c>
      <c r="E154" s="39">
        <f>Data!$F$11</f>
        <v>2023</v>
      </c>
      <c r="F154" s="39">
        <f>Data!$G$11</f>
        <v>2024</v>
      </c>
      <c r="G154" s="39"/>
      <c r="H154" s="301"/>
      <c r="I154" s="301"/>
      <c r="J154" s="301"/>
    </row>
    <row r="155" spans="1:10" ht="12.75" customHeight="1" x14ac:dyDescent="0.15">
      <c r="A155" s="301"/>
      <c r="B155" s="299"/>
      <c r="C155" s="299"/>
      <c r="D155" s="299"/>
      <c r="E155" s="299"/>
      <c r="F155" s="299"/>
      <c r="G155" s="55" t="s">
        <v>343</v>
      </c>
      <c r="H155" s="301"/>
      <c r="I155" s="301"/>
      <c r="J155" s="301"/>
    </row>
    <row r="156" spans="1:10" ht="12.75" customHeight="1" x14ac:dyDescent="0.15">
      <c r="A156" s="35"/>
      <c r="B156" s="56"/>
      <c r="C156" s="57"/>
      <c r="D156" s="57"/>
      <c r="E156" s="299"/>
      <c r="F156" s="299"/>
      <c r="G156" s="55" t="s">
        <v>344</v>
      </c>
      <c r="H156" s="301"/>
      <c r="I156" s="301"/>
      <c r="J156" s="301"/>
    </row>
    <row r="157" spans="1:10" ht="12.75" customHeight="1" x14ac:dyDescent="0.15">
      <c r="A157" s="299"/>
      <c r="B157" s="58" t="s">
        <v>345</v>
      </c>
      <c r="C157" s="59"/>
      <c r="D157" s="56"/>
      <c r="E157" s="299"/>
      <c r="F157" s="299"/>
      <c r="G157" s="55" t="s">
        <v>346</v>
      </c>
      <c r="H157" s="301"/>
      <c r="I157" s="301"/>
      <c r="J157" s="301"/>
    </row>
    <row r="158" spans="1:10" ht="12.75" customHeight="1" x14ac:dyDescent="0.15">
      <c r="A158" s="260" t="str">
        <f>Data!A65</f>
        <v>Net sales</v>
      </c>
      <c r="B158" s="262">
        <f>IF(ISERROR(Data!C65/Data!B65-1),"",Data!C65/Data!B65-1)</f>
        <v>-6.29820309570992E-2</v>
      </c>
      <c r="C158" s="262">
        <f>IF(ISERROR(Data!D65/Data!C65-1),"",Data!D65/Data!C65-1)</f>
        <v>0.15345401023860306</v>
      </c>
      <c r="D158" s="262">
        <f>IF(ISERROR(Data!E65/Data!D65-1),"",Data!E65/Data!D65-1)</f>
        <v>0.18499361984167306</v>
      </c>
      <c r="E158" s="262">
        <f>IF(ISERROR(Data!F65/Data!E65-1),"",Data!F65/Data!E65-1)</f>
        <v>7.63683789590337E-2</v>
      </c>
      <c r="F158" s="262">
        <f>IF(ISERROR(Data!G65/Data!F65-1),"",Data!G65/Data!F65-1)</f>
        <v>5.595337825532698E-2</v>
      </c>
      <c r="G158" s="262">
        <f>IF(ISERROR((Data!G65/Data!B65)^(1/5)-1),"",(Data!G65/Data!B65)^(1/5)-1)</f>
        <v>7.7988127858644063E-2</v>
      </c>
      <c r="H158" s="301"/>
      <c r="I158" s="301"/>
      <c r="J158" s="301" t="s">
        <v>347</v>
      </c>
    </row>
    <row r="159" spans="1:10" ht="12.75" customHeight="1" x14ac:dyDescent="0.15">
      <c r="A159" s="349" t="str">
        <f>Data!A66</f>
        <v>&lt;Cost of goods sold&gt;</v>
      </c>
      <c r="B159" s="350">
        <f>IF(ISERROR(Data!C66/Data!B66-1),"",Data!C66/Data!B66-1)</f>
        <v>-6.601609483303772E-2</v>
      </c>
      <c r="C159" s="350">
        <f>IF(ISERROR(Data!D66/Data!C66-1),"",Data!D66/Data!C66-1)</f>
        <v>0.11961817771464212</v>
      </c>
      <c r="D159" s="350">
        <f>IF(ISERROR(Data!E66/Data!D66-1),"",Data!E66/Data!D66-1)</f>
        <v>0.25424211162889976</v>
      </c>
      <c r="E159" s="350">
        <f>IF(ISERROR(Data!F66/Data!E66-1),"",Data!F66/Data!E66-1)</f>
        <v>1.7925009926825108E-2</v>
      </c>
      <c r="F159" s="350">
        <f>IF(ISERROR(Data!G66/Data!F66-1),"",Data!G66/Data!F66-1)</f>
        <v>4.2723135506640642E-2</v>
      </c>
      <c r="G159" s="350">
        <f>IF(ISERROR((Data!G66/Data!B66)^(1/5)-1),"",(Data!G66/Data!B66)^(1/5)-1)</f>
        <v>6.8403005860257826E-2</v>
      </c>
      <c r="H159" s="301"/>
      <c r="I159" s="301"/>
      <c r="J159" s="301" t="s">
        <v>348</v>
      </c>
    </row>
    <row r="160" spans="1:10" ht="12.75" customHeight="1" x14ac:dyDescent="0.15">
      <c r="A160" s="260" t="str">
        <f>Data!A67</f>
        <v xml:space="preserve">  Gross Profit</v>
      </c>
      <c r="B160" s="262">
        <f>IF(ISERROR(Data!C67/Data!B67-1),"",Data!C67/Data!B67-1)</f>
        <v>-6.1860066303206396E-2</v>
      </c>
      <c r="C160" s="262">
        <f>IF(ISERROR(Data!D67/Data!C67-1),"",Data!D67/Data!C67-1)</f>
        <v>0.16591071271468927</v>
      </c>
      <c r="D160" s="262">
        <f>IF(ISERROR(Data!E67/Data!D67-1),"",Data!E67/Data!D67-1)</f>
        <v>0.16051194124329782</v>
      </c>
      <c r="E160" s="262">
        <f>IF(ISERROR(Data!F67/Data!E67-1),"",Data!F67/Data!E67-1)</f>
        <v>9.8698849843948722E-2</v>
      </c>
      <c r="F160" s="262">
        <f>IF(ISERROR(Data!G67/Data!F67-1),"",Data!G67/Data!F67-1)</f>
        <v>6.0636846344791495E-2</v>
      </c>
      <c r="G160" s="262">
        <f>IF(ISERROR((Data!G67/Data!B67)^(1/5)-1),"",(Data!G67/Data!B67)^(1/5)-1)</f>
        <v>8.144785081542838E-2</v>
      </c>
      <c r="H160" s="301"/>
      <c r="I160" s="301"/>
      <c r="J160" s="301"/>
    </row>
    <row r="161" spans="1:7" ht="12.75" customHeight="1" x14ac:dyDescent="0.15">
      <c r="A161" s="349" t="str">
        <f>Data!A68</f>
        <v>&lt;Operating, selling, general and administrative expenses&gt;</v>
      </c>
      <c r="B161" s="350">
        <f>IF(ISERROR(Data!C68/Data!B68-1),"",Data!C68/Data!B68-1)</f>
        <v>-7.0827085015572777E-2</v>
      </c>
      <c r="C161" s="350">
        <f>IF(ISERROR(Data!D68/Data!C68-1),"",Data!D68/Data!C68-1)</f>
        <v>7.7272324199698428E-2</v>
      </c>
      <c r="D161" s="350">
        <f>IF(ISERROR(Data!E68/Data!D68-1),"",Data!E68/Data!D68-1)</f>
        <v>0.15715649797504194</v>
      </c>
      <c r="E161" s="350">
        <f>IF(ISERROR(Data!F68/Data!E68-1),"",Data!F68/Data!E68-1)</f>
        <v>8.5064306851809546E-2</v>
      </c>
      <c r="F161" s="350">
        <f>IF(ISERROR(Data!G68/Data!F68-1),"",Data!G68/Data!F68-1)</f>
        <v>7.6310855284723589E-2</v>
      </c>
      <c r="G161" s="350">
        <f>IF(ISERROR((Data!G68/Data!B68)^(1/5)-1),"",(Data!G68/Data!B68)^(1/5)-1)</f>
        <v>6.22860252116757E-2</v>
      </c>
    </row>
    <row r="162" spans="1:7" ht="12.75" customHeight="1" x14ac:dyDescent="0.15">
      <c r="A162" s="349" t="str">
        <f>Data!A69</f>
        <v>&lt;Research and development expenses&gt;</v>
      </c>
      <c r="B162" s="350">
        <f>IF(ISERROR(Data!C69/Data!B69-1),"",Data!C69/Data!B69-1)</f>
        <v>-2.1211813660813927E-2</v>
      </c>
      <c r="C162" s="350">
        <f>IF(ISERROR(Data!D69/Data!C69-1),"",Data!D69/Data!C69-1)</f>
        <v>6.6673579427623419E-2</v>
      </c>
      <c r="D162" s="350">
        <f>IF(ISERROR(Data!E69/Data!D69-1),"",Data!E69/Data!D69-1)</f>
        <v>0.10683386798872352</v>
      </c>
      <c r="E162" s="350">
        <f>IF(ISERROR(Data!F69/Data!E69-1),"",Data!F69/Data!E69-1)</f>
        <v>0.13200421570349574</v>
      </c>
      <c r="F162" s="350">
        <f>IF(ISERROR(Data!G69/Data!F69-1),"",Data!G69/Data!F69-1)</f>
        <v>5.1051284040654732E-2</v>
      </c>
      <c r="G162" s="350">
        <f>IF(ISERROR((Data!G69/Data!B69)^(1/5)-1),"",(Data!G69/Data!B69)^(1/5)-1)</f>
        <v>6.574898965719056E-2</v>
      </c>
    </row>
    <row r="163" spans="1:7" ht="12.75" customHeight="1" x14ac:dyDescent="0.15">
      <c r="A163" s="349" t="str">
        <f>Data!A70</f>
        <v xml:space="preserve"> advertising expenses</v>
      </c>
      <c r="B163" s="350">
        <f>IF(ISERROR(Data!C70/Data!B70-1),"",Data!C70/Data!B70-1)</f>
        <v>-6.0807141771107021E-2</v>
      </c>
      <c r="C163" s="350">
        <f>IF(ISERROR(Data!D70/Data!C70-1),"",Data!D70/Data!C70-1)</f>
        <v>0.22469038726164747</v>
      </c>
      <c r="D163" s="350">
        <f>IF(ISERROR(Data!E70/Data!D70-1),"",Data!E70/Data!D70-1)</f>
        <v>0.13860825228967988</v>
      </c>
      <c r="E163" s="350">
        <f>IF(ISERROR(Data!F70/Data!E70-1),"",Data!F70/Data!E70-1)</f>
        <v>0.10760427896177127</v>
      </c>
      <c r="F163" s="350">
        <f>IF(ISERROR(Data!G70/Data!F70-1),"",Data!G70/Data!F70-1)</f>
        <v>4.8837278948235197E-2</v>
      </c>
      <c r="G163" s="350">
        <f>IF(ISERROR((Data!G70/Data!B70)^(1/5)-1),"",(Data!G70/Data!B70)^(1/5)-1)</f>
        <v>8.7550998654858159E-2</v>
      </c>
    </row>
    <row r="164" spans="1:7" ht="12.75" customHeight="1" x14ac:dyDescent="0.15">
      <c r="A164" s="349" t="str">
        <f>Data!A72</f>
        <v>&lt;Other operating expenses (1)&gt;</v>
      </c>
      <c r="B164" s="350">
        <f>IF(ISERROR(Data!C72/Data!B72-1),"",Data!C72/Data!B72-1)</f>
        <v>0.62428407789232532</v>
      </c>
      <c r="C164" s="350">
        <f>IF(ISERROR(Data!D72/Data!C72-1),"",Data!D72/Data!C72-1)</f>
        <v>-0.39069111424541603</v>
      </c>
      <c r="D164" s="350">
        <f>IF(ISERROR(Data!E72/Data!D72-1),"",Data!E72/Data!D72-1)</f>
        <v>-0.44097222222222221</v>
      </c>
      <c r="E164" s="350">
        <f>IF(ISERROR(Data!F72/Data!E72-1),"",Data!F72/Data!E72-1)</f>
        <v>0.86293995859213246</v>
      </c>
      <c r="F164" s="350">
        <f>IF(ISERROR(Data!G72/Data!F72-1),"",Data!G72/Data!F72-1)</f>
        <v>-2.7117137141587033E-2</v>
      </c>
      <c r="G164" s="350">
        <f>IF(ISERROR((Data!G72/Data!B72)^(1/5)-1),"",(Data!G72/Data!B72)^(1/5)-1)</f>
        <v>5.4922455204153842E-4</v>
      </c>
    </row>
    <row r="165" spans="1:7" ht="12.75" customHeight="1" x14ac:dyDescent="0.15">
      <c r="A165" s="349" t="str">
        <f>Data!A73</f>
        <v>&lt;Other operating expenses (2)&gt;</v>
      </c>
      <c r="B165" s="350" t="str">
        <f>IF(ISERROR(Data!C73/Data!B73-1),"",Data!C73/Data!B73-1)</f>
        <v/>
      </c>
      <c r="C165" s="350" t="str">
        <f>IF(ISERROR(Data!D73/Data!C73-1),"",Data!D73/Data!C73-1)</f>
        <v/>
      </c>
      <c r="D165" s="350" t="str">
        <f>IF(ISERROR(Data!E73/Data!D73-1),"",Data!E73/Data!D73-1)</f>
        <v/>
      </c>
      <c r="E165" s="350" t="str">
        <f>IF(ISERROR(Data!F73/Data!E73-1),"",Data!F73/Data!E73-1)</f>
        <v/>
      </c>
      <c r="F165" s="350" t="str">
        <f>IF(ISERROR(Data!G73/Data!F73-1),"",Data!G73/Data!F73-1)</f>
        <v/>
      </c>
      <c r="G165" s="350" t="str">
        <f>IF(ISERROR((Data!G73/Data!B73)^(1/5)-1),"",(Data!G73/Data!B73)^(1/5)-1)</f>
        <v/>
      </c>
    </row>
    <row r="166" spans="1:7" ht="12.75" customHeight="1" x14ac:dyDescent="0.15">
      <c r="A166" s="349" t="str">
        <f>Data!A74</f>
        <v>Other operating income (1)</v>
      </c>
      <c r="B166" s="350" t="str">
        <f>IF(ISERROR(Data!C74/Data!B74-1),"",Data!C74/Data!B74-1)</f>
        <v/>
      </c>
      <c r="C166" s="350" t="str">
        <f>IF(ISERROR(Data!D74/Data!C74-1),"",Data!D74/Data!C74-1)</f>
        <v/>
      </c>
      <c r="D166" s="350" t="str">
        <f>IF(ISERROR(Data!E74/Data!D74-1),"",Data!E74/Data!D74-1)</f>
        <v/>
      </c>
      <c r="E166" s="350" t="str">
        <f>IF(ISERROR(Data!F74/Data!E74-1),"",Data!F74/Data!E74-1)</f>
        <v/>
      </c>
      <c r="F166" s="350" t="str">
        <f>IF(ISERROR(Data!G74/Data!F74-1),"",Data!G74/Data!F74-1)</f>
        <v/>
      </c>
      <c r="G166" s="350" t="str">
        <f>IF(ISERROR((Data!G74/Data!B74)^(1/5)-1),"",(Data!G74/Data!B74)^(1/5)-1)</f>
        <v/>
      </c>
    </row>
    <row r="167" spans="1:7" ht="12.75" customHeight="1" x14ac:dyDescent="0.15">
      <c r="A167" s="349" t="str">
        <f>Data!A75</f>
        <v>Other operating income (2)</v>
      </c>
      <c r="B167" s="350" t="str">
        <f>IF(ISERROR(Data!C75/Data!B75-1),"",Data!C75/Data!B75-1)</f>
        <v/>
      </c>
      <c r="C167" s="350" t="str">
        <f>IF(ISERROR(Data!D75/Data!C75-1),"",Data!D75/Data!C75-1)</f>
        <v/>
      </c>
      <c r="D167" s="350" t="str">
        <f>IF(ISERROR(Data!E75/Data!D75-1),"",Data!E75/Data!D75-1)</f>
        <v/>
      </c>
      <c r="E167" s="350" t="str">
        <f>IF(ISERROR(Data!F75/Data!E75-1),"",Data!F75/Data!E75-1)</f>
        <v/>
      </c>
      <c r="F167" s="350" t="str">
        <f>IF(ISERROR(Data!G75/Data!F75-1),"",Data!G75/Data!F75-1)</f>
        <v/>
      </c>
      <c r="G167" s="350" t="str">
        <f>IF(ISERROR((Data!G75/Data!B75)^(1/5)-1),"",(Data!G75/Data!B75)^(1/5)-1)</f>
        <v/>
      </c>
    </row>
    <row r="168" spans="1:7" ht="12.75" customHeight="1" x14ac:dyDescent="0.15">
      <c r="A168" s="349" t="str">
        <f>Data!A76</f>
        <v>Non-recurring operating gains &lt;losses&gt;</v>
      </c>
      <c r="B168" s="350" t="str">
        <f>IF(ISERROR(Data!C76/Data!B76-1),"",Data!C76/Data!B76-1)</f>
        <v/>
      </c>
      <c r="C168" s="350" t="str">
        <f>IF(ISERROR(Data!D76/Data!C76-1),"",Data!D76/Data!C76-1)</f>
        <v/>
      </c>
      <c r="D168" s="350" t="str">
        <f>IF(ISERROR(Data!E76/Data!D76-1),"",Data!E76/Data!D76-1)</f>
        <v/>
      </c>
      <c r="E168" s="350" t="str">
        <f>IF(ISERROR(Data!F76/Data!E76-1),"",Data!F76/Data!E76-1)</f>
        <v/>
      </c>
      <c r="F168" s="350" t="str">
        <f>IF(ISERROR(Data!G76/Data!F76-1),"",Data!G76/Data!F76-1)</f>
        <v/>
      </c>
      <c r="G168" s="350" t="str">
        <f>IF(ISERROR((Data!G76/Data!B76)^(1/5)-1),"",(Data!G76/Data!B76)^(1/5)-1)</f>
        <v/>
      </c>
    </row>
    <row r="169" spans="1:7" ht="12.75" customHeight="1" x14ac:dyDescent="0.15">
      <c r="A169" s="260" t="str">
        <f>Data!A77</f>
        <v xml:space="preserve">  Operating Profit</v>
      </c>
      <c r="B169" s="262">
        <f>IF(ISERROR(Data!C77/Data!B77-1),"",Data!C77/Data!B77-1)</f>
        <v>-0.11954607708863241</v>
      </c>
      <c r="C169" s="262">
        <f>IF(ISERROR(Data!D77/Data!C77-1),"",Data!D77/Data!C77-1)</f>
        <v>0.27297777777777732</v>
      </c>
      <c r="D169" s="262">
        <f>IF(ISERROR(Data!E77/Data!D77-1),"",Data!E77/Data!D77-1)</f>
        <v>0.25956637106347347</v>
      </c>
      <c r="E169" s="262">
        <f>IF(ISERROR(Data!F77/Data!E77-1),"",Data!F77/Data!E77-1)</f>
        <v>6.6261971089212945E-2</v>
      </c>
      <c r="F169" s="262">
        <f>IF(ISERROR(Data!G77/Data!F77-1),"",Data!G77/Data!F77-1)</f>
        <v>7.2321730314295785E-2</v>
      </c>
      <c r="G169" s="262">
        <f>IF(ISERROR((Data!G77/Data!B77)^(1/5)-1),"",(Data!G77/Data!B77)^(1/5)-1)</f>
        <v>0.10049356603810011</v>
      </c>
    </row>
    <row r="170" spans="1:7" ht="12.75" customHeight="1" x14ac:dyDescent="0.15">
      <c r="A170" s="349" t="str">
        <f>Data!A78</f>
        <v>Interest income</v>
      </c>
      <c r="B170" s="350" t="str">
        <f>IF(ISERROR(Data!C78/Data!B78-1),"",Data!C78/Data!B78-1)</f>
        <v/>
      </c>
      <c r="C170" s="350" t="str">
        <f>IF(ISERROR(Data!D78/Data!C78-1),"",Data!D78/Data!C78-1)</f>
        <v/>
      </c>
      <c r="D170" s="350" t="str">
        <f>IF(ISERROR(Data!E78/Data!D78-1),"",Data!E78/Data!D78-1)</f>
        <v/>
      </c>
      <c r="E170" s="350" t="str">
        <f>IF(ISERROR(Data!F78/Data!E78-1),"",Data!F78/Data!E78-1)</f>
        <v/>
      </c>
      <c r="F170" s="350" t="str">
        <f>IF(ISERROR(Data!G78/Data!F78-1),"",Data!G78/Data!F78-1)</f>
        <v/>
      </c>
      <c r="G170" s="350" t="str">
        <f>IF(ISERROR((Data!G78/Data!B78)^(1/5)-1),"",(Data!G78/Data!B78)^(1/5)-1)</f>
        <v/>
      </c>
    </row>
    <row r="171" spans="1:7" ht="12.75" customHeight="1" x14ac:dyDescent="0.15">
      <c r="A171" s="349" t="str">
        <f>Data!A79</f>
        <v>&lt;Interest expense on debt&gt; -interest expense</v>
      </c>
      <c r="B171" s="350">
        <f>IF(ISERROR(Data!C79/Data!B79-1),"",Data!C79/Data!B79-1)</f>
        <v>5.0397877984084793E-2</v>
      </c>
      <c r="C171" s="350">
        <f>IF(ISERROR(Data!D79/Data!C79-1),"",Data!D79/Data!C79-1)</f>
        <v>-0.52020202020202022</v>
      </c>
      <c r="D171" s="350">
        <f>IF(ISERROR(Data!E79/Data!D79-1),"",Data!E79/Data!D79-1)</f>
        <v>0.85263157894736863</v>
      </c>
      <c r="E171" s="350">
        <f>IF(ISERROR(Data!F79/Data!E79-1),"",Data!F79/Data!E79-1)</f>
        <v>2.2201704545454541</v>
      </c>
      <c r="F171" s="350">
        <f>IF(ISERROR(Data!G79/Data!F79-1),"",Data!G79/Data!F79-1)</f>
        <v>0.64711071901191008</v>
      </c>
      <c r="G171" s="350">
        <f>IF(ISERROR((Data!G79/Data!B79)^(1/5)-1),"",(Data!G79/Data!B79)^(1/5)-1)</f>
        <v>0.37708451111051233</v>
      </c>
    </row>
    <row r="172" spans="1:7" ht="12.75" customHeight="1" x14ac:dyDescent="0.15">
      <c r="A172" s="349" t="str">
        <f>Data!A80</f>
        <v>&lt;Interest on finance leases&gt;</v>
      </c>
      <c r="B172" s="350">
        <f>IF(ISERROR(Data!C80/Data!B80-1),"",Data!C80/Data!B80-1)</f>
        <v>2.5895316804407598E-2</v>
      </c>
      <c r="C172" s="350">
        <f>IF(ISERROR(Data!D80/Data!C80-1),"",Data!D80/Data!C80-1)</f>
        <v>1.5843179377013961E-2</v>
      </c>
      <c r="D172" s="350">
        <f>IF(ISERROR(Data!E80/Data!D80-1),"",Data!E80/Data!D80-1)</f>
        <v>0.23764208300290757</v>
      </c>
      <c r="E172" s="350">
        <f>IF(ISERROR(Data!F80/Data!E80-1),"",Data!F80/Data!E80-1)</f>
        <v>-0.1010252029047416</v>
      </c>
      <c r="F172" s="350">
        <f>IF(ISERROR(Data!G80/Data!F80-1),"",Data!G80/Data!F80-1)</f>
        <v>5.6070325492991291E-2</v>
      </c>
      <c r="G172" s="350">
        <f>IF(ISERROR((Data!G80/Data!B80)^(1/5)-1),"",(Data!G80/Data!B80)^(1/5)-1)</f>
        <v>4.1341144225363502E-2</v>
      </c>
    </row>
    <row r="173" spans="1:7" ht="12.75" customHeight="1" x14ac:dyDescent="0.15">
      <c r="A173" s="349" t="str">
        <f>Data!A82</f>
        <v>Other income or gains &lt;Other expenses or losses&gt;</v>
      </c>
      <c r="B173" s="350">
        <f>IF(ISERROR(Data!C82/Data!B82-1),"",Data!C82/Data!B82-1)</f>
        <v>-0.31010452961672474</v>
      </c>
      <c r="C173" s="350">
        <f>IF(ISERROR(Data!D82/Data!C82-1),"",Data!D82/Data!C82-1)</f>
        <v>-6.5656565656565635E-2</v>
      </c>
      <c r="D173" s="350">
        <f>IF(ISERROR(Data!E82/Data!D82-1),"",Data!E82/Data!D82-1)</f>
        <v>2.7729729729729726</v>
      </c>
      <c r="E173" s="350">
        <f>IF(ISERROR(Data!F82/Data!E82-1),"",Data!F82/Data!E82-1)</f>
        <v>1.322349570200573</v>
      </c>
      <c r="F173" s="350">
        <f>IF(ISERROR(Data!G82/Data!F82-1),"",Data!G82/Data!F82-1)</f>
        <v>-8.2665021591610155E-2</v>
      </c>
      <c r="G173" s="350">
        <f>IF(ISERROR((Data!G82/Data!B82)^(1/5)-1),"",(Data!G82/Data!B82)^(1/5)-1)</f>
        <v>0.38958722990613381</v>
      </c>
    </row>
    <row r="174" spans="1:7" ht="12.75" customHeight="1" x14ac:dyDescent="0.15">
      <c r="A174" s="260" t="str">
        <f>Data!A83</f>
        <v xml:space="preserve">  Income before Tax</v>
      </c>
      <c r="B174" s="262">
        <f>IF(ISERROR(Data!C83/Data!B83-1),"",Data!C83/Data!B83-1)</f>
        <v>-0.11731007336499555</v>
      </c>
      <c r="C174" s="262">
        <f>IF(ISERROR(Data!D83/Data!C83-1),"",Data!D83/Data!C83-1)</f>
        <v>0.26598974144247833</v>
      </c>
      <c r="D174" s="262">
        <f>IF(ISERROR(Data!E83/Data!D83-1),"",Data!E83/Data!D83-1)</f>
        <v>0.25857449975194347</v>
      </c>
      <c r="E174" s="262">
        <f>IF(ISERROR(Data!F83/Data!E83-1),"",Data!F83/Data!E83-1)</f>
        <v>5.1283735842114764E-2</v>
      </c>
      <c r="F174" s="262">
        <f>IF(ISERROR(Data!G83/Data!F83-1),"",Data!G83/Data!F83-1)</f>
        <v>5.3993925683361033E-2</v>
      </c>
      <c r="G174" s="262">
        <f>IF(ISERROR((Data!G83/Data!B83)^(1/5)-1),"",(Data!G83/Data!B83)^(1/5)-1)</f>
        <v>9.2785862195464475E-2</v>
      </c>
    </row>
    <row r="175" spans="1:7" ht="12.75" customHeight="1" x14ac:dyDescent="0.15">
      <c r="A175" s="349" t="str">
        <f>Data!A84</f>
        <v>&lt;Income tax expense&gt;</v>
      </c>
      <c r="B175" s="350">
        <f>IF(ISERROR(Data!C84/Data!B84-1),"",Data!C84/Data!B84-1)</f>
        <v>-0.2699734491914072</v>
      </c>
      <c r="C175" s="350">
        <f>IF(ISERROR(Data!D84/Data!C84-1),"",Data!D84/Data!C84-1)</f>
        <v>0.19474293271615162</v>
      </c>
      <c r="D175" s="350">
        <f>IF(ISERROR(Data!E84/Data!D84-1),"",Data!E84/Data!D84-1)</f>
        <v>0.314099903140999</v>
      </c>
      <c r="E175" s="350">
        <f>IF(ISERROR(Data!F84/Data!E84-1),"",Data!F84/Data!E84-1)</f>
        <v>-4.6751605770243287E-2</v>
      </c>
      <c r="F175" s="350">
        <f>IF(ISERROR(Data!G84/Data!F84-1),"",Data!G84/Data!F84-1)</f>
        <v>0.11294598475643425</v>
      </c>
      <c r="G175" s="350">
        <f>IF(ISERROR((Data!G84/Data!B84)^(1/5)-1),"",(Data!G84/Data!B84)^(1/5)-1)</f>
        <v>3.9882658214280386E-2</v>
      </c>
    </row>
    <row r="176" spans="1:7" ht="12.75" customHeight="1" x14ac:dyDescent="0.15">
      <c r="A176" s="349" t="str">
        <f>Data!A85</f>
        <v>Income &lt;Loss&gt; from discontinued operations</v>
      </c>
      <c r="B176" s="350" t="str">
        <f>IF(ISERROR(Data!C85/Data!B85-1),"",Data!C85/Data!B85-1)</f>
        <v/>
      </c>
      <c r="C176" s="350" t="str">
        <f>IF(ISERROR(Data!D85/Data!C85-1),"",Data!D85/Data!C85-1)</f>
        <v/>
      </c>
      <c r="D176" s="350" t="str">
        <f>IF(ISERROR(Data!E85/Data!D85-1),"",Data!E85/Data!D85-1)</f>
        <v/>
      </c>
      <c r="E176" s="350" t="str">
        <f>IF(ISERROR(Data!F85/Data!E85-1),"",Data!F85/Data!E85-1)</f>
        <v/>
      </c>
      <c r="F176" s="350" t="str">
        <f>IF(ISERROR(Data!G85/Data!F85-1),"",Data!G85/Data!F85-1)</f>
        <v/>
      </c>
      <c r="G176" s="350" t="str">
        <f>IF(ISERROR((Data!G85/Data!B85)^(1/5)-1),"",(Data!G85/Data!B85)^(1/5)-1)</f>
        <v/>
      </c>
    </row>
    <row r="177" spans="1:10" ht="12.75" customHeight="1" x14ac:dyDescent="0.15">
      <c r="A177" s="349" t="str">
        <f>Data!A86</f>
        <v>Extraordinary gains &lt;losses&gt;</v>
      </c>
      <c r="B177" s="350">
        <f>IF(ISERROR(Data!C86/Data!B86-1),"",Data!C86/Data!B86-1)</f>
        <v>-9.9999999999999978E-2</v>
      </c>
      <c r="C177" s="350">
        <f>IF(ISERROR(Data!D86/Data!C86-1),"",Data!D86/Data!C86-1)</f>
        <v>-0.33333333333333337</v>
      </c>
      <c r="D177" s="350">
        <f>IF(ISERROR(Data!E86/Data!D86-1),"",Data!E86/Data!D86-1)</f>
        <v>1.3333333333333335</v>
      </c>
      <c r="E177" s="350">
        <f>IF(ISERROR(Data!F86/Data!E86-1),"",Data!F86/Data!E86-1)</f>
        <v>-0.8571428571428571</v>
      </c>
      <c r="F177" s="350">
        <f>IF(ISERROR(Data!G86/Data!F86-1),"",Data!G86/Data!F86-1)</f>
        <v>-7.5</v>
      </c>
      <c r="G177" s="350">
        <f>IF(ISERROR((Data!G86/Data!B86)^(1/5)-1),"",(Data!G86/Data!B86)^(1/5)-1)</f>
        <v>-2.0538739520617835</v>
      </c>
      <c r="H177" s="301"/>
      <c r="I177" s="301"/>
      <c r="J177" s="301"/>
    </row>
    <row r="178" spans="1:10" ht="12.75" customHeight="1" x14ac:dyDescent="0.15">
      <c r="A178" s="349" t="str">
        <f>Data!A87</f>
        <v>Changes in accounting principles</v>
      </c>
      <c r="B178" s="350" t="str">
        <f>IF(ISERROR(Data!C87/Data!B87-1),"",Data!C87/Data!B87-1)</f>
        <v/>
      </c>
      <c r="C178" s="350" t="str">
        <f>IF(ISERROR(Data!D87/Data!C87-1),"",Data!D87/Data!C87-1)</f>
        <v/>
      </c>
      <c r="D178" s="350" t="str">
        <f>IF(ISERROR(Data!E87/Data!D87-1),"",Data!E87/Data!D87-1)</f>
        <v/>
      </c>
      <c r="E178" s="350" t="str">
        <f>IF(ISERROR(Data!F87/Data!E87-1),"",Data!F87/Data!E87-1)</f>
        <v/>
      </c>
      <c r="F178" s="350" t="str">
        <f>IF(ISERROR(Data!G87/Data!F87-1),"",Data!G87/Data!F87-1)</f>
        <v/>
      </c>
      <c r="G178" s="350" t="str">
        <f>IF(ISERROR((Data!G87/Data!B87)^(1/5)-1),"",(Data!G87/Data!B87)^(1/5)-1)</f>
        <v/>
      </c>
      <c r="H178" s="301"/>
      <c r="I178" s="301"/>
      <c r="J178" s="301"/>
    </row>
    <row r="179" spans="1:10" ht="12.75" customHeight="1" x14ac:dyDescent="0.15">
      <c r="A179" s="260" t="str">
        <f>Data!A88</f>
        <v xml:space="preserve">  Net Income </v>
      </c>
      <c r="B179" s="262">
        <f>IF(ISERROR(Data!C88/Data!B88-1),"",Data!C88/Data!B88-1)</f>
        <v>-4.9932092354398105E-2</v>
      </c>
      <c r="C179" s="262">
        <f>IF(ISERROR(Data!D88/Data!C88-1),"",Data!D88/Data!C88-1)</f>
        <v>0.28999887879807118</v>
      </c>
      <c r="D179" s="262">
        <f>IF(ISERROR(Data!E88/Data!D88-1),"",Data!E88/Data!D88-1)</f>
        <v>0.24127591152057715</v>
      </c>
      <c r="E179" s="262">
        <f>IF(ISERROR(Data!F88/Data!E88-1),"",Data!F88/Data!E88-1)</f>
        <v>8.3657178867765802E-2</v>
      </c>
      <c r="F179" s="262">
        <f>IF(ISERROR(Data!G88/Data!F88-1),"",Data!G88/Data!F88-1)</f>
        <v>3.6507551894031876E-2</v>
      </c>
      <c r="G179" s="262">
        <f>IF(ISERROR((Data!G88/Data!B88)^(1/5)-1),"",(Data!G88/Data!B88)^(1/5)-1)</f>
        <v>0.1131029617620618</v>
      </c>
      <c r="H179" s="301"/>
      <c r="I179" s="301"/>
      <c r="J179" s="301"/>
    </row>
    <row r="180" spans="1:10" ht="12.75" customHeight="1" x14ac:dyDescent="0.15">
      <c r="A180" s="349" t="str">
        <f>Data!A89</f>
        <v>Net income attributable to noncontrolling interests</v>
      </c>
      <c r="B180" s="350">
        <f>IF(ISERROR(Data!C89/Data!B89-1),"",Data!C89/Data!B89-1)</f>
        <v>-0.19230769230769229</v>
      </c>
      <c r="C180" s="350">
        <f>IF(ISERROR(Data!D89/Data!C89-1),"",Data!D89/Data!C89-1)</f>
        <v>0.21428571428571419</v>
      </c>
      <c r="D180" s="350">
        <f>IF(ISERROR(Data!E89/Data!D89-1),"",Data!E89/Data!D89-1)</f>
        <v>0.17647058823529416</v>
      </c>
      <c r="E180" s="350">
        <f>IF(ISERROR(Data!F89/Data!E89-1),"",Data!F89/Data!E89-1)</f>
        <v>8.3333333333333259E-2</v>
      </c>
      <c r="F180" s="350">
        <f>IF(ISERROR(Data!G89/Data!F89-1),"",Data!G89/Data!F89-1)</f>
        <v>0.15384615384615374</v>
      </c>
      <c r="G180" s="350">
        <f>IF(ISERROR((Data!G89/Data!B89)^(1/5)-1),"",(Data!G89/Data!B89)^(1/5)-1)</f>
        <v>7.5998296963836864E-2</v>
      </c>
      <c r="H180" s="301"/>
      <c r="I180" s="301"/>
      <c r="J180" s="301"/>
    </row>
    <row r="181" spans="1:10" ht="12.75" customHeight="1" x14ac:dyDescent="0.15">
      <c r="A181" s="260" t="str">
        <f>Data!A90</f>
        <v xml:space="preserve">  Net Income attributable to common shareholders</v>
      </c>
      <c r="B181" s="262">
        <f>IF(ISERROR(Data!C90/Data!B90-1),"",Data!C90/Data!B90-1)</f>
        <v>-5.0128979070818924E-2</v>
      </c>
      <c r="C181" s="262">
        <f>IF(ISERROR(Data!D90/Data!C90-1),"",Data!D90/Data!C90-1)</f>
        <v>0.28990984937566489</v>
      </c>
      <c r="D181" s="262">
        <f>IF(ISERROR(Data!E90/Data!D90-1),"",Data!E90/Data!D90-1)</f>
        <v>0.24120417598159438</v>
      </c>
      <c r="E181" s="262">
        <f>IF(ISERROR(Data!F90/Data!E90-1),"",Data!F90/Data!E90-1)</f>
        <v>8.3656839086489576E-2</v>
      </c>
      <c r="F181" s="262">
        <f>IF(ISERROR(Data!G90/Data!F90-1),"",Data!G90/Data!F90-1)</f>
        <v>3.6630627723092335E-2</v>
      </c>
      <c r="G181" s="262">
        <f>IF(ISERROR((Data!G90/Data!B90)^(1/5)-1),"",(Data!G90/Data!B90)^(1/5)-1)</f>
        <v>0.11305495544774757</v>
      </c>
      <c r="H181" s="301"/>
      <c r="I181" s="301"/>
      <c r="J181" s="301"/>
    </row>
    <row r="182" spans="1:10" ht="12.75" customHeight="1" x14ac:dyDescent="0.15">
      <c r="A182" s="48"/>
      <c r="B182" s="53"/>
      <c r="C182" s="53"/>
      <c r="D182" s="53"/>
      <c r="E182" s="53"/>
      <c r="F182" s="53"/>
      <c r="G182" s="53"/>
      <c r="H182" s="301"/>
      <c r="I182" s="301"/>
      <c r="J182" s="301"/>
    </row>
    <row r="183" spans="1:10" ht="12.75" customHeight="1" x14ac:dyDescent="0.15">
      <c r="A183" s="349" t="str">
        <f>Data!A93</f>
        <v>Other comprehensive income items</v>
      </c>
      <c r="B183" s="350">
        <f>IF(ISERROR(Data!C93/Data!B93-1),"",Data!C93/Data!B93-1)</f>
        <v>-2.3499156829679597</v>
      </c>
      <c r="C183" s="350">
        <f>IF(ISERROR(Data!D93/Data!C93-1),"",Data!D93/Data!C93-1)</f>
        <v>-1.9822226493057222</v>
      </c>
      <c r="D183" s="350">
        <f>IF(ISERROR(Data!E93/Data!D93-1),"",Data!E93/Data!D93-1)</f>
        <v>-0.5784376070048427</v>
      </c>
      <c r="E183" s="350">
        <f>IF(ISERROR(Data!F93/Data!E93-1),"",Data!F93/Data!E93-1)</f>
        <v>-1.8203759572986771</v>
      </c>
      <c r="F183" s="350">
        <f>IF(ISERROR(Data!G93/Data!F93-1),"",Data!G93/Data!F93-1)</f>
        <v>-3.0004243281471004</v>
      </c>
      <c r="G183" s="350">
        <f>IF(ISERROR((Data!G93/Data!B93)^(1/5)-1),"",(Data!G93/Data!B93)^(1/5)-1)</f>
        <v>-1.7115016425266694E-2</v>
      </c>
      <c r="H183" s="301"/>
      <c r="I183" s="301"/>
      <c r="J183" s="301"/>
    </row>
    <row r="184" spans="1:10" ht="12.75" customHeight="1" x14ac:dyDescent="0.15">
      <c r="A184" s="260" t="str">
        <f>Data!A94</f>
        <v>Comprehensive Income</v>
      </c>
      <c r="B184" s="262">
        <f>IF(ISERROR(Data!C94/Data!B94-1),"",Data!C94/Data!B94-1)</f>
        <v>-0.71940191432724809</v>
      </c>
      <c r="C184" s="262">
        <f>IF(ISERROR(Data!D94/Data!C94-1),"",Data!D94/Data!C94-1)</f>
        <v>3.4718428311915499</v>
      </c>
      <c r="D184" s="262">
        <f>IF(ISERROR(Data!E94/Data!D94-1),"",Data!E94/Data!D94-1)</f>
        <v>-1.0847814639283859E-2</v>
      </c>
      <c r="E184" s="262">
        <f>IF(ISERROR(Data!F94/Data!E94-1),"",Data!F94/Data!E94-1)</f>
        <v>-0.16593149184716505</v>
      </c>
      <c r="F184" s="262">
        <f>IF(ISERROR(Data!G94/Data!F94-1),"",Data!G94/Data!F94-1)</f>
        <v>0.42806601623051055</v>
      </c>
      <c r="G184" s="262">
        <f>IF(ISERROR((Data!G94/Data!B94)^(1/5)-1),"",(Data!G94/Data!B94)^(1/5)-1)</f>
        <v>8.1326562958124793E-2</v>
      </c>
      <c r="H184" s="301"/>
      <c r="I184" s="301"/>
      <c r="J184" s="301"/>
    </row>
    <row r="185" spans="1:10" ht="12.75" customHeight="1" x14ac:dyDescent="0.15">
      <c r="A185" s="301"/>
      <c r="B185" s="387"/>
      <c r="C185" s="387"/>
      <c r="D185" s="387"/>
      <c r="E185" s="387"/>
      <c r="F185" s="387"/>
      <c r="G185" s="387"/>
      <c r="H185" s="301"/>
      <c r="I185" s="301"/>
      <c r="J185" s="301"/>
    </row>
    <row r="186" spans="1:10" ht="12.75" customHeight="1" x14ac:dyDescent="0.15">
      <c r="A186" s="301"/>
      <c r="B186" s="387"/>
      <c r="C186" s="387"/>
      <c r="D186" s="387"/>
      <c r="E186" s="387"/>
      <c r="F186" s="387"/>
      <c r="G186" s="387"/>
      <c r="H186" s="301"/>
      <c r="I186" s="301"/>
      <c r="J186" s="301"/>
    </row>
    <row r="187" spans="1:10" ht="12.75" customHeight="1" thickBot="1" x14ac:dyDescent="0.2">
      <c r="A187" s="388"/>
      <c r="B187" s="389"/>
      <c r="C187" s="389"/>
      <c r="D187" s="389"/>
      <c r="E187" s="389"/>
      <c r="F187" s="389"/>
      <c r="G187" s="387"/>
      <c r="H187" s="301"/>
      <c r="I187" s="301"/>
      <c r="J187" s="301"/>
    </row>
    <row r="188" spans="1:10" ht="12.75" customHeight="1" thickBot="1" x14ac:dyDescent="0.2">
      <c r="A188" s="60" t="s">
        <v>349</v>
      </c>
      <c r="B188" s="390"/>
      <c r="C188" s="390"/>
      <c r="D188" s="390"/>
      <c r="E188" s="390"/>
      <c r="F188" s="391"/>
      <c r="G188" s="301"/>
      <c r="H188" s="301"/>
      <c r="I188" s="301"/>
      <c r="J188" s="37" t="s">
        <v>350</v>
      </c>
    </row>
    <row r="189" spans="1:10" ht="12.75" customHeight="1" thickBot="1" x14ac:dyDescent="0.2">
      <c r="A189" s="38" t="s">
        <v>207</v>
      </c>
      <c r="B189" s="39">
        <f>Data!$C$11</f>
        <v>2020</v>
      </c>
      <c r="C189" s="39">
        <f>Data!$D$11</f>
        <v>2021</v>
      </c>
      <c r="D189" s="39">
        <f>Data!$E$11</f>
        <v>2022</v>
      </c>
      <c r="E189" s="39">
        <f>Data!$F$11</f>
        <v>2023</v>
      </c>
      <c r="F189" s="39">
        <f>Data!$G$11</f>
        <v>2024</v>
      </c>
      <c r="G189" s="301"/>
      <c r="H189" s="301"/>
      <c r="I189" s="301"/>
      <c r="J189" s="301"/>
    </row>
    <row r="190" spans="1:10" ht="12.75" customHeight="1" x14ac:dyDescent="0.15">
      <c r="A190" s="301"/>
      <c r="B190" s="35"/>
      <c r="C190" s="35"/>
      <c r="D190" s="35"/>
      <c r="E190" s="35"/>
      <c r="F190" s="35"/>
      <c r="G190" s="301"/>
      <c r="H190" s="301"/>
      <c r="I190" s="301"/>
      <c r="J190" s="301"/>
    </row>
    <row r="191" spans="1:10" ht="12.75" customHeight="1" x14ac:dyDescent="0.15">
      <c r="A191" s="18" t="str">
        <f>Data!A15</f>
        <v>Assets:</v>
      </c>
      <c r="B191" s="392"/>
      <c r="C191" s="393"/>
      <c r="D191" s="393"/>
      <c r="E191" s="393"/>
      <c r="F191" s="393"/>
      <c r="G191" s="301"/>
      <c r="H191" s="301"/>
      <c r="I191" s="301"/>
      <c r="J191" s="301"/>
    </row>
    <row r="192" spans="1:10" ht="12.75" customHeight="1" x14ac:dyDescent="0.15">
      <c r="A192" s="349" t="str">
        <f>Data!A16</f>
        <v>Cash and cash equivalents</v>
      </c>
      <c r="B192" s="394">
        <f>IF(Data!C16/Data!C$33=0,"",Data!C16/Data!C$33)</f>
        <v>0.14690072694750841</v>
      </c>
      <c r="C192" s="394">
        <f>IF(Data!D16/Data!D$33=0,"",Data!D16/Data!D$33)</f>
        <v>6.3091820009996871E-2</v>
      </c>
      <c r="D192" s="394">
        <f>IF(Data!E16/Data!E$33=0,"",Data!E16/Data!E$33)</f>
        <v>5.5881461367352767E-2</v>
      </c>
      <c r="E192" s="394">
        <f>IF(Data!F16/Data!F$33=0,"",Data!F16/Data!F$33)</f>
        <v>8.269405071834926E-2</v>
      </c>
      <c r="F192" s="394">
        <f>IF(Data!G16/Data!G$33=0,"",Data!G16/Data!G$33)</f>
        <v>7.1908704709919904E-2</v>
      </c>
      <c r="G192" s="301"/>
      <c r="H192" s="301"/>
      <c r="I192" s="301"/>
      <c r="J192" s="301" t="s">
        <v>351</v>
      </c>
    </row>
    <row r="193" spans="1:14" ht="12.75" customHeight="1" x14ac:dyDescent="0.15">
      <c r="A193" s="349" t="str">
        <f>Data!A17</f>
        <v>Marketable securities</v>
      </c>
      <c r="B193" s="394" t="str">
        <f>IF(Data!C17/Data!C$33=0,"",Data!C17/Data!C$33)</f>
        <v/>
      </c>
      <c r="C193" s="394" t="str">
        <f>IF(Data!D17/Data!D$33=0,"",Data!D17/Data!D$33)</f>
        <v/>
      </c>
      <c r="D193" s="394" t="str">
        <f>IF(Data!E17/Data!E$33=0,"",Data!E17/Data!E$33)</f>
        <v/>
      </c>
      <c r="E193" s="394" t="str">
        <f>IF(Data!F17/Data!F$33=0,"",Data!F17/Data!F$33)</f>
        <v/>
      </c>
      <c r="F193" s="394" t="str">
        <f>IF(Data!G17/Data!G$33=0,"",Data!G17/Data!G$33)</f>
        <v/>
      </c>
      <c r="G193" s="301"/>
      <c r="H193" s="301"/>
      <c r="I193" s="301"/>
      <c r="J193" s="384"/>
      <c r="K193" s="384"/>
      <c r="L193" s="384"/>
      <c r="M193" s="384"/>
      <c r="N193" s="384"/>
    </row>
    <row r="194" spans="1:14" ht="12.75" customHeight="1" x14ac:dyDescent="0.15">
      <c r="A194" s="349" t="str">
        <f>Data!A18</f>
        <v>Accounts and notes receivable - net</v>
      </c>
      <c r="B194" s="394">
        <f>IF(Data!C18/Data!C$33=0,"",Data!C18/Data!C$33)</f>
        <v>8.0521475909830997E-2</v>
      </c>
      <c r="C194" s="394">
        <f>IF(Data!D18/Data!D$33=0,"",Data!D18/Data!D$33)</f>
        <v>9.3482278819440406E-2</v>
      </c>
      <c r="D194" s="394">
        <f>IF(Data!E18/Data!E$33=0,"",Data!E18/Data!E$33)</f>
        <v>0.10151823720535054</v>
      </c>
      <c r="E194" s="394">
        <f>IF(Data!F18/Data!F$33=0,"",Data!F18/Data!F$33)</f>
        <v>9.8210394368913323E-2</v>
      </c>
      <c r="F194" s="394">
        <f>IF(Data!G18/Data!G$33=0,"",Data!G18/Data!G$33)</f>
        <v>9.9404827392845868E-2</v>
      </c>
      <c r="G194" s="301"/>
      <c r="H194" s="301"/>
      <c r="I194" s="301"/>
      <c r="J194" s="384"/>
      <c r="K194" s="384"/>
      <c r="L194" s="384"/>
      <c r="M194" s="384"/>
      <c r="N194" s="384"/>
    </row>
    <row r="195" spans="1:14" ht="12.75" customHeight="1" x14ac:dyDescent="0.15">
      <c r="A195" s="349" t="str">
        <f>Data!A19</f>
        <v>Inventories</v>
      </c>
      <c r="B195" s="394">
        <f>IF(Data!C19/Data!C$33=0,"",Data!C19/Data!C$33)</f>
        <v>6.1361707982663341E-2</v>
      </c>
      <c r="C195" s="394">
        <f>IF(Data!D19/Data!D$33=0,"",Data!D19/Data!D$33)</f>
        <v>7.3625722156997225E-2</v>
      </c>
      <c r="D195" s="394">
        <f>IF(Data!E19/Data!E$33=0,"",Data!E19/Data!E$33)</f>
        <v>8.7076624868178923E-2</v>
      </c>
      <c r="E195" s="394">
        <f>IF(Data!F19/Data!F$33=0,"",Data!F19/Data!F$33)</f>
        <v>8.6441037508436999E-2</v>
      </c>
      <c r="F195" s="394">
        <f>IF(Data!G19/Data!G$33=0,"",Data!G19/Data!G$33)</f>
        <v>8.2161857137280095E-2</v>
      </c>
      <c r="G195" s="301"/>
      <c r="H195" s="301"/>
      <c r="I195" s="301"/>
      <c r="J195" s="384"/>
      <c r="K195" s="384"/>
      <c r="L195" s="384"/>
      <c r="M195" s="384"/>
      <c r="N195" s="384"/>
    </row>
    <row r="196" spans="1:14" ht="12.75" customHeight="1" x14ac:dyDescent="0.15">
      <c r="A196" s="349" t="str">
        <f>Data!A20</f>
        <v>Prepaid expenses and other current assets</v>
      </c>
      <c r="B196" s="394">
        <f>IF(Data!C20/Data!C$33=0,"",Data!C20/Data!C$33)</f>
        <v>3.9734446304492396E-2</v>
      </c>
      <c r="C196" s="394">
        <f>IF(Data!D20/Data!D$33=0,"",Data!D20/Data!D$33)</f>
        <v>4.7378148720750461E-2</v>
      </c>
      <c r="D196" s="394">
        <f>IF(Data!E20/Data!E$33=0,"",Data!E20/Data!E$33)</f>
        <v>5.1729364398276821E-2</v>
      </c>
      <c r="E196" s="394">
        <f>IF(Data!F20/Data!F$33=0,"",Data!F20/Data!F$33)</f>
        <v>4.3787484331308461E-2</v>
      </c>
      <c r="F196" s="394">
        <f>IF(Data!G20/Data!G$33=0,"",Data!G20/Data!G$33)</f>
        <v>3.4697107894111089E-2</v>
      </c>
      <c r="G196" s="301"/>
      <c r="H196" s="301"/>
      <c r="I196" s="301"/>
      <c r="J196" s="379"/>
      <c r="K196" s="379"/>
      <c r="L196" s="379"/>
      <c r="M196" s="301"/>
      <c r="N196" s="301"/>
    </row>
    <row r="197" spans="1:14" ht="12.75" customHeight="1" x14ac:dyDescent="0.15">
      <c r="A197" s="349" t="str">
        <f>Data!A21</f>
        <v>Other current assets (1) - current tax assets</v>
      </c>
      <c r="B197" s="394">
        <f>IF(Data!C21/Data!C$33=0,"",Data!C21/Data!C$33)</f>
        <v>5.3752837847134633E-3</v>
      </c>
      <c r="C197" s="394">
        <f>IF(Data!D21/Data!D$33=0,"",Data!D21/Data!D$33)</f>
        <v>3.166447743150406E-3</v>
      </c>
      <c r="D197" s="394">
        <f>IF(Data!E21/Data!E$33=0,"",Data!E21/Data!E$33)</f>
        <v>3.7123375985722764E-3</v>
      </c>
      <c r="E197" s="394">
        <f>IF(Data!F21/Data!F$33=0,"",Data!F21/Data!F$33)</f>
        <v>3.694918522803973E-3</v>
      </c>
      <c r="F197" s="394">
        <f>IF(Data!G21/Data!G$33=0,"",Data!G21/Data!G$33)</f>
        <v>4.1541415424801338E-3</v>
      </c>
      <c r="G197" s="301"/>
      <c r="H197" s="301"/>
      <c r="I197" s="301"/>
      <c r="J197" s="301"/>
      <c r="K197" s="301"/>
      <c r="L197" s="301"/>
      <c r="M197" s="301"/>
      <c r="N197" s="301"/>
    </row>
    <row r="198" spans="1:14" ht="12.75" customHeight="1" x14ac:dyDescent="0.15">
      <c r="A198" s="349" t="str">
        <f>Data!A22</f>
        <v>Other current assets (2)</v>
      </c>
      <c r="B198" s="394" t="str">
        <f>IF(Data!C22/Data!C$33=0,"",Data!C22/Data!C$33)</f>
        <v/>
      </c>
      <c r="C198" s="394" t="str">
        <f>IF(Data!D22/Data!D$33=0,"",Data!D22/Data!D$33)</f>
        <v/>
      </c>
      <c r="D198" s="394" t="str">
        <f>IF(Data!E22/Data!E$33=0,"",Data!E22/Data!E$33)</f>
        <v/>
      </c>
      <c r="E198" s="394" t="str">
        <f>IF(Data!F22/Data!F$33=0,"",Data!F22/Data!F$33)</f>
        <v/>
      </c>
      <c r="F198" s="394" t="str">
        <f>IF(Data!G22/Data!G$33=0,"",Data!G22/Data!G$33)</f>
        <v/>
      </c>
      <c r="G198" s="301"/>
      <c r="H198" s="301"/>
      <c r="I198" s="301"/>
      <c r="J198" s="379"/>
      <c r="K198" s="379"/>
      <c r="L198" s="379"/>
      <c r="M198" s="301"/>
      <c r="N198" s="301"/>
    </row>
    <row r="199" spans="1:14" ht="12.75" customHeight="1" x14ac:dyDescent="0.15">
      <c r="A199" s="260" t="str">
        <f>Data!A23</f>
        <v xml:space="preserve">  Current Assets</v>
      </c>
      <c r="B199" s="263">
        <f>IF(Data!C23/Data!C$33=0,"",Data!C23/Data!C$33)</f>
        <v>0.33389364092920865</v>
      </c>
      <c r="C199" s="263">
        <f>IF(Data!D23/Data!D$33=0,"",Data!D23/Data!D$33)</f>
        <v>0.2807444174503354</v>
      </c>
      <c r="D199" s="263">
        <f>IF(Data!E23/Data!E$33=0,"",Data!E23/Data!E$33)</f>
        <v>0.29991802543773138</v>
      </c>
      <c r="E199" s="263">
        <f>IF(Data!F23/Data!F$33=0,"",Data!F23/Data!F$33)</f>
        <v>0.31482788544981199</v>
      </c>
      <c r="F199" s="263">
        <f>IF(Data!G23/Data!G$33=0,"",Data!G23/Data!G$33)</f>
        <v>0.29232663867663705</v>
      </c>
      <c r="G199" s="301"/>
      <c r="H199" s="301"/>
      <c r="I199" s="301"/>
      <c r="J199" s="301"/>
      <c r="K199" s="301"/>
      <c r="L199" s="301"/>
      <c r="M199" s="301"/>
      <c r="N199" s="301"/>
    </row>
    <row r="200" spans="1:14" ht="12.75" customHeight="1" x14ac:dyDescent="0.15">
      <c r="A200" s="349" t="str">
        <f>Data!A24</f>
        <v>Investments in noncontrolled affiliates</v>
      </c>
      <c r="B200" s="394">
        <f>IF(Data!C24/Data!C$33=0,"",Data!C24/Data!C$33)</f>
        <v>2.5454628843992936E-4</v>
      </c>
      <c r="C200" s="394">
        <f>IF(Data!D24/Data!D$33=0,"",Data!D24/Data!D$33)</f>
        <v>2.3016029851093261E-4</v>
      </c>
      <c r="D200" s="394">
        <f>IF(Data!E24/Data!E$33=0,"",Data!E24/Data!E$33)</f>
        <v>3.9279477753726208E-4</v>
      </c>
      <c r="E200" s="394">
        <f>IF(Data!F24/Data!F$33=0,"",Data!F24/Data!F$33)</f>
        <v>5.2068267283772061E-4</v>
      </c>
      <c r="F200" s="394">
        <f>IF(Data!G24/Data!G$33=0,"",Data!G24/Data!G$33)</f>
        <v>2.2429880007240025E-3</v>
      </c>
      <c r="G200" s="301"/>
      <c r="H200" s="301"/>
      <c r="I200" s="301"/>
      <c r="J200" s="301"/>
      <c r="K200" s="301"/>
      <c r="L200" s="301"/>
      <c r="M200" s="301"/>
      <c r="N200" s="301"/>
    </row>
    <row r="201" spans="1:14" ht="12.75" customHeight="1" x14ac:dyDescent="0.15">
      <c r="A201" s="349" t="str">
        <f>Data!A25</f>
        <v>Property, plant, and equipment - at cost</v>
      </c>
      <c r="B201" s="394">
        <f>IF(Data!C25/Data!C$33=0,"",Data!C25/Data!C$33)</f>
        <v>7.3960602655536944E-2</v>
      </c>
      <c r="C201" s="394">
        <f>IF(Data!D25/Data!D$33=0,"",Data!D25/Data!D$33)</f>
        <v>7.593429969660688E-2</v>
      </c>
      <c r="D201" s="394">
        <f>IF(Data!E25/Data!E$33=0,"",Data!E25/Data!E$33)</f>
        <v>7.4325737877798115E-2</v>
      </c>
      <c r="E201" s="394">
        <f>IF(Data!F25/Data!F$33=0,"",Data!F25/Data!F$33)</f>
        <v>7.4586828656831555E-2</v>
      </c>
      <c r="F201" s="394">
        <f>IF(Data!G25/Data!G$33=0,"",Data!G25/Data!G$33)</f>
        <v>7.4565154897486219E-2</v>
      </c>
      <c r="G201" s="301"/>
      <c r="H201" s="301"/>
      <c r="I201" s="301"/>
      <c r="J201" s="301"/>
      <c r="K201" s="301"/>
      <c r="L201" s="301"/>
      <c r="M201" s="301"/>
      <c r="N201" s="301"/>
    </row>
    <row r="202" spans="1:14" ht="12.75" customHeight="1" x14ac:dyDescent="0.15">
      <c r="A202" s="349" t="str">
        <f>Data!A26</f>
        <v>&lt;Accumulated depreciation&gt;</v>
      </c>
      <c r="B202" s="394" t="str">
        <f>IF(Data!C26/Data!C$33=0,"",Data!C26/Data!C$33)</f>
        <v/>
      </c>
      <c r="C202" s="394" t="str">
        <f>IF(Data!D26/Data!D$33=0,"",Data!D26/Data!D$33)</f>
        <v/>
      </c>
      <c r="D202" s="394" t="str">
        <f>IF(Data!E26/Data!E$33=0,"",Data!E26/Data!E$33)</f>
        <v/>
      </c>
      <c r="E202" s="394" t="str">
        <f>IF(Data!F26/Data!F$33=0,"",Data!F26/Data!F$33)</f>
        <v/>
      </c>
      <c r="F202" s="394" t="str">
        <f>IF(Data!G26/Data!G$33=0,"",Data!G26/Data!G$33)</f>
        <v/>
      </c>
      <c r="G202" s="301"/>
      <c r="H202" s="301"/>
      <c r="I202" s="301"/>
      <c r="J202" s="301"/>
      <c r="K202" s="301"/>
      <c r="L202" s="301"/>
      <c r="M202" s="301"/>
      <c r="N202" s="301"/>
    </row>
    <row r="203" spans="1:14" ht="12.75" customHeight="1" x14ac:dyDescent="0.15">
      <c r="A203" s="349" t="str">
        <f>Data!A27</f>
        <v>Operating lease right-of-use assets</v>
      </c>
      <c r="B203" s="394">
        <f>IF(Data!C27/Data!C$33=0,"",Data!C27/Data!C$33)</f>
        <v>3.4978329167335516E-2</v>
      </c>
      <c r="C203" s="394">
        <f>IF(Data!D27/Data!D$33=0,"",Data!D27/Data!D$33)</f>
        <v>3.5049461215664844E-2</v>
      </c>
      <c r="D203" s="394">
        <f>IF(Data!E27/Data!E$33=0,"",Data!E27/Data!E$33)</f>
        <v>3.1652000905135792E-2</v>
      </c>
      <c r="E203" s="394">
        <f>IF(Data!F27/Data!F$33=0,"",Data!F27/Data!F$33)</f>
        <v>3.2637161315205866E-2</v>
      </c>
      <c r="F203" s="394">
        <f>IF(Data!G27/Data!G$33=0,"",Data!G27/Data!G$33)</f>
        <v>3.1288262997441148E-2</v>
      </c>
      <c r="G203" s="301"/>
      <c r="H203" s="301"/>
      <c r="I203" s="301"/>
      <c r="J203" s="301"/>
      <c r="K203" s="301"/>
      <c r="L203" s="301"/>
      <c r="M203" s="301"/>
      <c r="N203" s="301"/>
    </row>
    <row r="204" spans="1:14" ht="12.75" customHeight="1" x14ac:dyDescent="0.15">
      <c r="A204" s="349" t="str">
        <f>Data!A28</f>
        <v>Finance lease-right-of-use assets</v>
      </c>
      <c r="B204" s="394" t="str">
        <f>IF(Data!C28/Data!C$33=0,"",Data!C28/Data!C$33)</f>
        <v/>
      </c>
      <c r="C204" s="394" t="str">
        <f>IF(Data!D28/Data!D$33=0,"",Data!D28/Data!D$33)</f>
        <v/>
      </c>
      <c r="D204" s="394" t="str">
        <f>IF(Data!E28/Data!E$33=0,"",Data!E28/Data!E$33)</f>
        <v/>
      </c>
      <c r="E204" s="394" t="str">
        <f>IF(Data!F28/Data!F$33=0,"",Data!F28/Data!F$33)</f>
        <v/>
      </c>
      <c r="F204" s="394" t="str">
        <f>IF(Data!G28/Data!G$33=0,"",Data!G28/Data!G$33)</f>
        <v/>
      </c>
      <c r="G204" s="301"/>
      <c r="H204" s="301"/>
      <c r="I204" s="301"/>
      <c r="J204" s="301"/>
      <c r="K204" s="301"/>
      <c r="L204" s="301"/>
      <c r="M204" s="301"/>
      <c r="N204" s="301"/>
    </row>
    <row r="205" spans="1:14" ht="12.75" customHeight="1" x14ac:dyDescent="0.15">
      <c r="A205" s="349" t="str">
        <f>Data!A29</f>
        <v>Goodwill</v>
      </c>
      <c r="B205" s="394">
        <f>IF(Data!C29/Data!C$33=0,"",Data!C29/Data!C$33)</f>
        <v>0.24111266539775725</v>
      </c>
      <c r="C205" s="394">
        <f>IF(Data!D29/Data!D$33=0,"",Data!D29/Data!D$33)</f>
        <v>0.25746567937972964</v>
      </c>
      <c r="D205" s="394">
        <f>IF(Data!E29/Data!E$33=0,"",Data!E29/Data!E$33)</f>
        <v>0.25014409591023784</v>
      </c>
      <c r="E205" s="394">
        <f>IF(Data!F29/Data!F$33=0,"",Data!F29/Data!F$33)</f>
        <v>0.25267765885642662</v>
      </c>
      <c r="F205" s="394">
        <f>IF(Data!G29/Data!G$33=0,"",Data!G29/Data!G$33)</f>
        <v>0.23746570748171361</v>
      </c>
      <c r="G205" s="301"/>
      <c r="H205" s="301"/>
      <c r="I205" s="301"/>
      <c r="J205" s="301"/>
      <c r="K205" s="301"/>
      <c r="L205" s="301"/>
      <c r="M205" s="301"/>
      <c r="N205" s="301"/>
    </row>
    <row r="206" spans="1:14" ht="12.75" customHeight="1" x14ac:dyDescent="0.15">
      <c r="A206" s="349" t="str">
        <f>Data!A30</f>
        <v>Other nonamortizable intangible assets</v>
      </c>
      <c r="B206" s="394">
        <f>IF(Data!C30/Data!C$33=0,"",Data!C30/Data!C$33)</f>
        <v>7.6969293920700801E-2</v>
      </c>
      <c r="C206" s="394">
        <f>IF(Data!D30/Data!D$33=0,"",Data!D30/Data!D$33)</f>
        <v>8.0504957745823988E-2</v>
      </c>
      <c r="D206" s="394">
        <f>IF(Data!E30/Data!E$33=0,"",Data!E30/Data!E$33)</f>
        <v>7.7707188571379773E-2</v>
      </c>
      <c r="E206" s="394">
        <f>IF(Data!F30/Data!F$33=0,"",Data!F30/Data!F$33)</f>
        <v>8.2674766174910833E-2</v>
      </c>
      <c r="F206" s="394">
        <f>IF(Data!G30/Data!G$33=0,"",Data!G30/Data!G$33)</f>
        <v>8.1535453051634857E-2</v>
      </c>
      <c r="G206" s="301"/>
      <c r="H206" s="301"/>
      <c r="I206" s="301"/>
      <c r="J206" s="301"/>
      <c r="K206" s="301"/>
      <c r="L206" s="301"/>
      <c r="M206" s="301"/>
      <c r="N206" s="301"/>
    </row>
    <row r="207" spans="1:14" ht="12.75" customHeight="1" x14ac:dyDescent="0.15">
      <c r="A207" s="349" t="str">
        <f>Data!A31</f>
        <v>Deferred tax assets - non current</v>
      </c>
      <c r="B207" s="394">
        <f>IF(Data!C31/Data!C$33=0,"",Data!C31/Data!C$33)</f>
        <v>1.8572706216891784E-2</v>
      </c>
      <c r="C207" s="394">
        <f>IF(Data!D31/Data!D$33=0,"",Data!D31/Data!D$33)</f>
        <v>1.6192590698269147E-2</v>
      </c>
      <c r="D207" s="394">
        <f>IF(Data!E31/Data!E$33=0,"",Data!E31/Data!E$33)</f>
        <v>1.7101516102451125E-2</v>
      </c>
      <c r="E207" s="394">
        <f>IF(Data!F31/Data!F$33=0,"",Data!F31/Data!F$33)</f>
        <v>1.7764921415485493E-2</v>
      </c>
      <c r="F207" s="394">
        <f>IF(Data!G31/Data!G$33=0,"",Data!G31/Data!G$33)</f>
        <v>1.727136250873949E-2</v>
      </c>
      <c r="G207" s="301"/>
      <c r="H207" s="301"/>
      <c r="I207" s="301"/>
      <c r="J207" s="301"/>
      <c r="K207" s="301"/>
      <c r="L207" s="301"/>
      <c r="M207" s="301"/>
      <c r="N207" s="301"/>
    </row>
    <row r="208" spans="1:14" ht="12.75" customHeight="1" x14ac:dyDescent="0.15">
      <c r="A208" s="349" t="str">
        <f>Data!A32</f>
        <v xml:space="preserve">Other long-term assets </v>
      </c>
      <c r="B208" s="394">
        <f>IF(Data!C32/Data!C$33=0,"",Data!C32/Data!C$33)</f>
        <v>0.22025821542412913</v>
      </c>
      <c r="C208" s="394">
        <f>IF(Data!D32/Data!D$33=0,"",Data!D32/Data!D$33)</f>
        <v>0.25387843351505923</v>
      </c>
      <c r="D208" s="394">
        <f>IF(Data!E32/Data!E$33=0,"",Data!E32/Data!E$33)</f>
        <v>0.24875864041772869</v>
      </c>
      <c r="E208" s="394">
        <f>IF(Data!F32/Data!F$33=0,"",Data!F32/Data!F$33)</f>
        <v>0.22431009545849007</v>
      </c>
      <c r="F208" s="394">
        <f>IF(Data!G32/Data!G$33=0,"",Data!G32/Data!G$33)</f>
        <v>0.26330443238562357</v>
      </c>
      <c r="G208" s="301"/>
      <c r="H208" s="301"/>
      <c r="I208" s="301"/>
      <c r="J208" s="301"/>
      <c r="K208" s="301"/>
      <c r="L208" s="301"/>
      <c r="M208" s="301"/>
      <c r="N208" s="301"/>
    </row>
    <row r="209" spans="1:12" ht="12.75" customHeight="1" x14ac:dyDescent="0.15">
      <c r="A209" s="260" t="str">
        <f>Data!A33</f>
        <v xml:space="preserve">   Total Assets</v>
      </c>
      <c r="B209" s="263">
        <f>IF(Data!C33/Data!C$33=0,"",Data!C33/Data!C$33)</f>
        <v>1</v>
      </c>
      <c r="C209" s="263">
        <f>IF(Data!D33/Data!D$33=0,"",Data!D33/Data!D$33)</f>
        <v>1</v>
      </c>
      <c r="D209" s="263">
        <f>IF(Data!E33/Data!E$33=0,"",Data!E33/Data!E$33)</f>
        <v>1</v>
      </c>
      <c r="E209" s="263">
        <f>IF(Data!F33/Data!F$33=0,"",Data!F33/Data!F$33)</f>
        <v>1</v>
      </c>
      <c r="F209" s="263">
        <f>IF(Data!G33/Data!G$33=0,"",Data!G33/Data!G$33)</f>
        <v>1</v>
      </c>
      <c r="G209" s="301"/>
      <c r="H209" s="301"/>
      <c r="I209" s="301"/>
      <c r="J209" s="301"/>
      <c r="K209" s="301"/>
      <c r="L209" s="301"/>
    </row>
    <row r="210" spans="1:12" customFormat="1" ht="12.75" customHeight="1" x14ac:dyDescent="0.15"/>
    <row r="211" spans="1:12" ht="12.75" customHeight="1" x14ac:dyDescent="0.15">
      <c r="A211" s="260" t="str">
        <f>Data!A35</f>
        <v>Liabilities and Equities:</v>
      </c>
      <c r="B211" s="265" t="str">
        <f>IF(Data!C35/Data!C$33=0,"",Data!C35/Data!C$33)</f>
        <v/>
      </c>
      <c r="C211" s="266" t="str">
        <f>IF(Data!D35/Data!D$33=0,"",Data!D35/Data!D$33)</f>
        <v/>
      </c>
      <c r="D211" s="266" t="str">
        <f>IF(Data!E35/Data!E$33=0,"",Data!E35/Data!E$33)</f>
        <v/>
      </c>
      <c r="E211" s="266" t="str">
        <f>IF(Data!F35/Data!F$33=0,"",Data!F35/Data!F$33)</f>
        <v/>
      </c>
      <c r="F211" s="266" t="str">
        <f>IF(Data!G35/Data!G$33=0,"",Data!G35/Data!G$33)</f>
        <v/>
      </c>
      <c r="G211" s="301"/>
      <c r="H211" s="301"/>
      <c r="I211" s="301"/>
      <c r="J211" s="301"/>
      <c r="K211" s="301"/>
      <c r="L211" s="301"/>
    </row>
    <row r="212" spans="1:12" ht="12.75" customHeight="1" x14ac:dyDescent="0.15">
      <c r="A212" s="48" t="str">
        <f>Data!A36</f>
        <v>Accounts payable</v>
      </c>
      <c r="B212" s="394">
        <f>IF(Data!C36/Data!C$33=0,"",Data!C36/Data!C$33)</f>
        <v>0.10925998119567959</v>
      </c>
      <c r="C212" s="394">
        <f>IF(Data!D36/Data!D$33=0,"",Data!D36/Data!D$33)</f>
        <v>0.14107431387820105</v>
      </c>
      <c r="D212" s="394">
        <f>IF(Data!E36/Data!E$33=0,"",Data!E36/Data!E$33)</f>
        <v>0.13546296414893752</v>
      </c>
      <c r="E212" s="394">
        <f>IF(Data!F36/Data!F$33=0,"",Data!F36/Data!F$33)</f>
        <v>0.12239899720374121</v>
      </c>
      <c r="F212" s="394">
        <f>IF(Data!G36/Data!G$33=0,"",Data!G36/Data!G$33)</f>
        <v>0.11478455603388615</v>
      </c>
      <c r="G212" s="301"/>
      <c r="H212" s="301"/>
      <c r="I212" s="301"/>
      <c r="J212" s="301"/>
      <c r="K212" s="301"/>
      <c r="L212" s="301"/>
    </row>
    <row r="213" spans="1:12" ht="12.75" customHeight="1" x14ac:dyDescent="0.15">
      <c r="A213" s="349" t="str">
        <f>Data!A37</f>
        <v>Current accrued liabilities</v>
      </c>
      <c r="B213" s="394" t="str">
        <f>IF(Data!C37/Data!C$33=0,"",Data!C37/Data!C$33)</f>
        <v/>
      </c>
      <c r="C213" s="394" t="str">
        <f>IF(Data!D37/Data!D$33=0,"",Data!D37/Data!D$33)</f>
        <v/>
      </c>
      <c r="D213" s="394" t="str">
        <f>IF(Data!E37/Data!E$33=0,"",Data!E37/Data!E$33)</f>
        <v/>
      </c>
      <c r="E213" s="394" t="str">
        <f>IF(Data!F37/Data!F$33=0,"",Data!F37/Data!F$33)</f>
        <v/>
      </c>
      <c r="F213" s="394" t="str">
        <f>IF(Data!G37/Data!G$33=0,"",Data!G37/Data!G$33)</f>
        <v/>
      </c>
      <c r="G213" s="301"/>
      <c r="H213" s="301"/>
      <c r="I213" s="301"/>
      <c r="J213" s="301"/>
      <c r="K213" s="301"/>
      <c r="L213" s="301"/>
    </row>
    <row r="214" spans="1:12" ht="12.75" customHeight="1" x14ac:dyDescent="0.15">
      <c r="A214" s="349" t="str">
        <f>Data!A38</f>
        <v>Current maturities of long-term debt</v>
      </c>
      <c r="B214" s="394" t="str">
        <f>IF(Data!C38/Data!C$33=0,"",Data!C38/Data!C$33)</f>
        <v/>
      </c>
      <c r="C214" s="394" t="str">
        <f>IF(Data!D38/Data!D$33=0,"",Data!D38/Data!D$33)</f>
        <v/>
      </c>
      <c r="D214" s="394" t="str">
        <f>IF(Data!E38/Data!E$33=0,"",Data!E38/Data!E$33)</f>
        <v/>
      </c>
      <c r="E214" s="394" t="str">
        <f>IF(Data!F38/Data!F$33=0,"",Data!F38/Data!F$33)</f>
        <v/>
      </c>
      <c r="F214" s="394" t="str">
        <f>IF(Data!G38/Data!G$33=0,"",Data!G38/Data!G$33)</f>
        <v/>
      </c>
      <c r="G214" s="301"/>
      <c r="H214" s="384"/>
      <c r="I214" s="384"/>
      <c r="J214" s="384"/>
      <c r="K214" s="384"/>
      <c r="L214" s="384"/>
    </row>
    <row r="215" spans="1:12" ht="12.75" customHeight="1" x14ac:dyDescent="0.15">
      <c r="A215" s="349" t="str">
        <f>Data!A39</f>
        <v>Notes payable and short-term debt + Current maturities of long-term debt</v>
      </c>
      <c r="B215" s="394">
        <f>IF(Data!C39/Data!C$33=0,"",Data!C39/Data!C$33)</f>
        <v>1.9639048776572569E-2</v>
      </c>
      <c r="C215" s="394">
        <f>IF(Data!D39/Data!D$33=0,"",Data!D39/Data!D$33)</f>
        <v>0.10739419019610122</v>
      </c>
      <c r="D215" s="394">
        <f>IF(Data!E39/Data!E$33=0,"",Data!E39/Data!E$33)</f>
        <v>2.1620790798355383E-2</v>
      </c>
      <c r="E215" s="394">
        <f>IF(Data!F39/Data!F$33=0,"",Data!F39/Data!F$33)</f>
        <v>4.0333622601484917E-2</v>
      </c>
      <c r="F215" s="394">
        <f>IF(Data!G39/Data!G$33=0,"",Data!G39/Data!G$33)</f>
        <v>2.4507838036391769E-2</v>
      </c>
      <c r="G215" s="301"/>
      <c r="H215" s="301"/>
      <c r="I215" s="301"/>
      <c r="J215" s="301"/>
      <c r="K215" s="301"/>
      <c r="L215" s="301"/>
    </row>
    <row r="216" spans="1:12" ht="12.75" customHeight="1" x14ac:dyDescent="0.15">
      <c r="A216" s="395" t="str">
        <f>Data!A40</f>
        <v>Operating lease obligations due within one year</v>
      </c>
      <c r="B216" s="394">
        <f>IF(Data!C41/Data!C$33=0,"",Data!C41/Data!C$33)</f>
        <v>2.9387483660880134E-2</v>
      </c>
      <c r="C216" s="394">
        <f>IF(Data!D41/Data!D$33=0,"",Data!D41/Data!D$33)</f>
        <v>2.9923163657921348E-2</v>
      </c>
      <c r="D216" s="394">
        <f>IF(Data!E41/Data!E$33=0,"",Data!E41/Data!E$33)</f>
        <v>2.5736596945593649E-2</v>
      </c>
      <c r="E216" s="394">
        <f>IF(Data!F40/Data!F$33=0,"",Data!F40/Data!F$33)</f>
        <v>8.8670330729919977E-3</v>
      </c>
      <c r="F216" s="394">
        <f>IF(Data!G40/Data!G$33=0,"",Data!G40/Data!G$33)</f>
        <v>8.3153811482536994E-3</v>
      </c>
      <c r="G216" s="301"/>
      <c r="H216" s="301"/>
      <c r="I216" s="301"/>
      <c r="J216" s="301"/>
      <c r="K216" s="301"/>
      <c r="L216" s="301"/>
    </row>
    <row r="217" spans="1:12" ht="12.75" customHeight="1" x14ac:dyDescent="0.15">
      <c r="A217" s="395" t="str">
        <f>Data!A41</f>
        <v>Provisions for liabilities and charges</v>
      </c>
      <c r="B217" s="394" t="e">
        <f>IF(Data!#REF!/Data!C$33=0,"",Data!#REF!/Data!C$33)</f>
        <v>#REF!</v>
      </c>
      <c r="C217" s="394" t="e">
        <f>IF(Data!#REF!/Data!D$33=0,"",Data!#REF!/Data!D$33)</f>
        <v>#REF!</v>
      </c>
      <c r="D217" s="394" t="e">
        <f>IF(Data!#REF!/Data!E$33=0,"",Data!#REF!/Data!E$33)</f>
        <v>#REF!</v>
      </c>
      <c r="E217" s="394">
        <f>IF(Data!F41/Data!F$33=0,"",Data!F41/Data!F$33)</f>
        <v>1.88448558480378E-2</v>
      </c>
      <c r="F217" s="394">
        <f>IF(Data!G41/Data!G$33=0,"",Data!G41/Data!G$33)</f>
        <v>1.9397232465121889E-2</v>
      </c>
      <c r="G217" s="301"/>
      <c r="H217" s="301"/>
      <c r="I217" s="301"/>
      <c r="J217" s="301"/>
      <c r="K217" s="301"/>
      <c r="L217" s="301"/>
    </row>
    <row r="218" spans="1:12" ht="12.75" customHeight="1" x14ac:dyDescent="0.15">
      <c r="A218" s="349" t="str">
        <f>Data!A42</f>
        <v>Income taxes payable</v>
      </c>
      <c r="B218" s="394">
        <f>IF(Data!C42/Data!C$33=0,"",Data!C42/Data!C$33)</f>
        <v>4.9326942922007936E-3</v>
      </c>
      <c r="C218" s="394">
        <f>IF(Data!D42/Data!D$33=0,"",Data!D42/Data!D$33)</f>
        <v>6.251525683796947E-3</v>
      </c>
      <c r="D218" s="394">
        <f>IF(Data!E42/Data!E$33=0,"",Data!E42/Data!E$33)</f>
        <v>5.6400206644209045E-3</v>
      </c>
      <c r="E218" s="394">
        <f>IF(Data!F42/Data!F$33=0,"",Data!F42/Data!F$33)</f>
        <v>4.0131134895381353E-3</v>
      </c>
      <c r="F218" s="394">
        <f>IF(Data!G42/Data!G$33=0,"",Data!G42/Data!G$33)</f>
        <v>4.8816930300567491E-3</v>
      </c>
      <c r="G218" s="301"/>
      <c r="H218" s="301"/>
      <c r="I218" s="301"/>
      <c r="J218" s="301"/>
      <c r="K218" s="301"/>
      <c r="L218" s="301"/>
    </row>
    <row r="219" spans="1:12" ht="12.75" customHeight="1" x14ac:dyDescent="0.15">
      <c r="A219" s="349" t="str">
        <f>Data!A43</f>
        <v>Other current liabilities (1)</v>
      </c>
      <c r="B219" s="394">
        <f>IF(Data!C43/Data!C$33=0,"",Data!C43/Data!C$33)</f>
        <v>8.4447451097300896E-2</v>
      </c>
      <c r="C219" s="394">
        <f>IF(Data!D43/Data!D$33=0,"",Data!D43/Data!D$33)</f>
        <v>9.2547688516396026E-2</v>
      </c>
      <c r="D219" s="394">
        <f>IF(Data!E43/Data!E$33=0,"",Data!E43/Data!E$33)</f>
        <v>9.5735188007804659E-2</v>
      </c>
      <c r="E219" s="394">
        <f>IF(Data!F43/Data!F$33=0,"",Data!F43/Data!F$33)</f>
        <v>9.2876289653842467E-2</v>
      </c>
      <c r="F219" s="394">
        <f>IF(Data!G43/Data!G$33=0,"",Data!G43/Data!G$33)</f>
        <v>8.783143519290762E-2</v>
      </c>
      <c r="G219" s="301"/>
      <c r="H219" s="301"/>
      <c r="I219" s="301"/>
      <c r="J219" s="301"/>
      <c r="K219" s="301"/>
      <c r="L219" s="301"/>
    </row>
    <row r="220" spans="1:12" ht="12.75" customHeight="1" x14ac:dyDescent="0.15">
      <c r="A220" s="260" t="str">
        <f>Data!A44</f>
        <v xml:space="preserve">  Current Liabilities</v>
      </c>
      <c r="B220" s="263">
        <f>IF(Data!C44/Data!C$33=0,"",Data!C44/Data!C$33)</f>
        <v>0.25653908776113926</v>
      </c>
      <c r="C220" s="263">
        <f>IF(Data!D44/Data!D$33=0,"",Data!D44/Data!D$33)</f>
        <v>0.38702035407488344</v>
      </c>
      <c r="D220" s="263">
        <f>IF(Data!E44/Data!E$33=0,"",Data!E44/Data!E$33)</f>
        <v>0.29288401026389832</v>
      </c>
      <c r="E220" s="263">
        <f>IF(Data!F44/Data!F$33=0,"",Data!F44/Data!F$33)</f>
        <v>0.28733391186963653</v>
      </c>
      <c r="F220" s="263">
        <f>IF(Data!G44/Data!G$33=0,"",Data!G44/Data!G$33)</f>
        <v>0.25971813590661791</v>
      </c>
      <c r="G220" s="301"/>
      <c r="H220" s="301"/>
      <c r="I220" s="301"/>
      <c r="J220" s="301"/>
      <c r="K220" s="301"/>
      <c r="L220" s="301"/>
    </row>
    <row r="221" spans="1:12" ht="12.75" customHeight="1" x14ac:dyDescent="0.15">
      <c r="A221" s="349" t="str">
        <f>Data!A45</f>
        <v>Long-term debt obligations</v>
      </c>
      <c r="B221" s="394">
        <f>IF(Data!C45/Data!C$33=0,"",Data!C45/Data!C$33)</f>
        <v>1.9492283349003601E-4</v>
      </c>
      <c r="C221" s="394">
        <f>IF(Data!D45/Data!D$33=0,"",Data!D45/Data!D$33)</f>
        <v>2.4875911051181604E-4</v>
      </c>
      <c r="D221" s="394">
        <f>IF(Data!E45/Data!E$33=0,"",Data!E45/Data!E$33)</f>
        <v>6.441834351611099E-2</v>
      </c>
      <c r="E221" s="394">
        <f>IF(Data!F45/Data!F$33=0,"",Data!F45/Data!F$33)</f>
        <v>9.1537942339215125E-2</v>
      </c>
      <c r="F221" s="394">
        <f>IF(Data!G45/Data!G$33=0,"",Data!G45/Data!G$33)</f>
        <v>9.2045910273381909E-2</v>
      </c>
      <c r="G221" s="301"/>
      <c r="H221" s="301"/>
      <c r="I221" s="301"/>
      <c r="J221" s="301"/>
      <c r="K221" s="301"/>
      <c r="L221" s="301"/>
    </row>
    <row r="222" spans="1:12" ht="12.75" customHeight="1" x14ac:dyDescent="0.15">
      <c r="A222" s="349" t="str">
        <f>Data!A46</f>
        <v>Long-term operating lease obligations</v>
      </c>
      <c r="B222" s="394">
        <f>IF(Data!C46/Data!C$33=0,"",Data!C46/Data!C$33)</f>
        <v>2.9690187355241131E-2</v>
      </c>
      <c r="C222" s="394">
        <f>IF(Data!D46/Data!D$33=0,"",Data!D46/Data!D$33)</f>
        <v>2.900252246387762E-2</v>
      </c>
      <c r="D222" s="394">
        <f>IF(Data!E46/Data!E$33=0,"",Data!E46/Data!E$33)</f>
        <v>2.5905242529427587E-2</v>
      </c>
      <c r="E222" s="394">
        <f>IF(Data!F46/Data!F$33=0,"",Data!F46/Data!F$33)</f>
        <v>2.688651046186482E-2</v>
      </c>
      <c r="F222" s="394">
        <f>IF(Data!G46/Data!G$33=0,"",Data!G46/Data!G$33)</f>
        <v>2.5872440704553763E-2</v>
      </c>
      <c r="G222" s="301"/>
      <c r="H222" s="301"/>
      <c r="I222" s="301"/>
      <c r="J222" s="301"/>
      <c r="K222" s="301"/>
      <c r="L222" s="301"/>
    </row>
    <row r="223" spans="1:12" ht="12.75" customHeight="1" x14ac:dyDescent="0.15">
      <c r="A223" s="349" t="str">
        <f>Data!A47</f>
        <v xml:space="preserve">Other noncurrent liabilities (2) provisions for employees &amp; liabilities </v>
      </c>
      <c r="B223" s="394">
        <f>IF(Data!C47/Data!C$33=0,"",Data!C47/Data!C$33)</f>
        <v>2.3241681381429586E-2</v>
      </c>
      <c r="C223" s="394">
        <f>IF(Data!D47/Data!D$33=0,"",Data!D47/Data!D$33)</f>
        <v>8.3834145093982133E-3</v>
      </c>
      <c r="D223" s="394">
        <f>IF(Data!E47/Data!E$33=0,"",Data!E47/Data!E$33)</f>
        <v>1.1220268210520922E-2</v>
      </c>
      <c r="E223" s="394">
        <f>IF(Data!F47/Data!F$33=0,"",Data!F47/Data!F$33)</f>
        <v>1.2164690000964228E-2</v>
      </c>
      <c r="F223" s="394">
        <f>IF(Data!G47/Data!G$33=0,"",Data!G47/Data!G$33)</f>
        <v>1.32325644947776E-2</v>
      </c>
      <c r="G223" s="301"/>
      <c r="H223" s="301"/>
      <c r="I223" s="301"/>
      <c r="J223" s="301"/>
      <c r="K223" s="301"/>
      <c r="L223" s="301"/>
    </row>
    <row r="224" spans="1:12" ht="12.75" customHeight="1" x14ac:dyDescent="0.15">
      <c r="A224" s="349" t="str">
        <f>Data!A48</f>
        <v>Deferred tax liabilities- noncurrent</v>
      </c>
      <c r="B224" s="394">
        <f>IF(Data!C48/Data!C$33=0,"",Data!C48/Data!C$33)</f>
        <v>1.6203820487536404E-2</v>
      </c>
      <c r="C224" s="394">
        <f>IF(Data!D48/Data!D$33=0,"",Data!D48/Data!D$33)</f>
        <v>1.8838271705394816E-2</v>
      </c>
      <c r="D224" s="394">
        <f>IF(Data!E48/Data!E$33=0,"",Data!E48/Data!E$33)</f>
        <v>1.9332334268355685E-2</v>
      </c>
      <c r="E224" s="394">
        <f>IF(Data!F48/Data!F$33=0,"",Data!F48/Data!F$33)</f>
        <v>1.6326294474978308E-2</v>
      </c>
      <c r="F224" s="394">
        <f>IF(Data!G48/Data!G$33=0,"",Data!G48/Data!G$33)</f>
        <v>1.7115205116284022E-2</v>
      </c>
      <c r="G224" s="301"/>
      <c r="H224" s="301"/>
      <c r="I224" s="301"/>
      <c r="J224" s="301"/>
      <c r="K224" s="301"/>
      <c r="L224" s="301"/>
    </row>
    <row r="225" spans="1:10" ht="12.75" customHeight="1" x14ac:dyDescent="0.15">
      <c r="A225" s="349" t="str">
        <f>Data!A49</f>
        <v>Other noncurrent liabilities (1) - non current tax</v>
      </c>
      <c r="B225" s="394">
        <f>IF(Data!C49/Data!C$33=0,"",Data!C49/Data!C$33)</f>
        <v>9.1246818171394489E-3</v>
      </c>
      <c r="C225" s="394">
        <f>IF(Data!D49/Data!D$33=0,"",Data!D49/Data!D$33)</f>
        <v>8.0160879723807643E-3</v>
      </c>
      <c r="D225" s="394">
        <f>IF(Data!E49/Data!E$33=0,"",Data!E49/Data!E$33)</f>
        <v>5.8833826461559486E-3</v>
      </c>
      <c r="E225" s="394">
        <f>IF(Data!F49/Data!F$33=0,"",Data!F49/Data!F$33)</f>
        <v>4.9310577572075987E-3</v>
      </c>
      <c r="F225" s="394">
        <f>IF(Data!G49/Data!G$33=0,"",Data!G49/Data!G$33)</f>
        <v>3.9802389917910899E-3</v>
      </c>
      <c r="G225" s="301"/>
      <c r="H225" s="301"/>
      <c r="I225" s="301"/>
      <c r="J225" s="301"/>
    </row>
    <row r="226" spans="1:10" ht="12.75" customHeight="1" x14ac:dyDescent="0.15">
      <c r="A226" s="260" t="str">
        <f>Data!A50</f>
        <v xml:space="preserve">  Total Liabilities</v>
      </c>
      <c r="B226" s="263">
        <f>IF(Data!C50/Data!C$33=0,"",Data!C50/Data!C$33)</f>
        <v>0.33499438163597589</v>
      </c>
      <c r="C226" s="263">
        <f>IF(Data!D50/Data!D$33=0,"",Data!D50/Data!D$33)</f>
        <v>0.45150940983644661</v>
      </c>
      <c r="D226" s="263">
        <f>IF(Data!E50/Data!E$33=0,"",Data!E50/Data!E$33)</f>
        <v>0.41964358143446934</v>
      </c>
      <c r="E226" s="263">
        <f>IF(Data!F50/Data!F$33=0,"",Data!F50/Data!F$33)</f>
        <v>0.43918040690386662</v>
      </c>
      <c r="F226" s="263">
        <f>IF(Data!G50/Data!G$33=0,"",Data!G50/Data!G$33)</f>
        <v>0.41196449548740627</v>
      </c>
      <c r="G226" s="301"/>
      <c r="H226" s="301"/>
      <c r="I226" s="301"/>
      <c r="J226" s="301"/>
    </row>
    <row r="227" spans="1:10" ht="12.75" customHeight="1" x14ac:dyDescent="0.15">
      <c r="A227" s="48"/>
      <c r="B227" s="61" t="str">
        <f>IF(Data!C51/Data!C$33=0,"",Data!C51/Data!C$33)</f>
        <v/>
      </c>
      <c r="C227" s="61" t="str">
        <f>IF(Data!D51/Data!D$33=0,"",Data!D51/Data!D$33)</f>
        <v/>
      </c>
      <c r="D227" s="61" t="str">
        <f>IF(Data!E51/Data!E$33=0,"",Data!E51/Data!E$33)</f>
        <v/>
      </c>
      <c r="E227" s="61" t="str">
        <f>IF(Data!F51/Data!F$33=0,"",Data!F51/Data!F$33)</f>
        <v/>
      </c>
      <c r="F227" s="61" t="str">
        <f>IF(Data!G51/Data!G$33=0,"",Data!G51/Data!G$33)</f>
        <v/>
      </c>
      <c r="G227" s="301"/>
      <c r="H227" s="301"/>
      <c r="I227" s="301"/>
      <c r="J227" s="301"/>
    </row>
    <row r="228" spans="1:10" ht="12.75" customHeight="1" x14ac:dyDescent="0.15">
      <c r="A228" s="349" t="str">
        <f>Data!A52</f>
        <v>&lt;Treasury stock&gt; and other equity adjustments - other reserves</v>
      </c>
      <c r="B228" s="394" t="str">
        <f>IF(Data!C52/Data!C$33=0,"",Data!C52/Data!C$33)</f>
        <v/>
      </c>
      <c r="C228" s="394">
        <f>IF(Data!D52/Data!D$33=0,"",Data!D52/Data!D$33)</f>
        <v>-0.20784637381287271</v>
      </c>
      <c r="D228" s="394" t="str">
        <f>IF(Data!E52/Data!E$33=0,"",Data!E52/Data!E$33)</f>
        <v/>
      </c>
      <c r="E228" s="394" t="str">
        <f>IF(Data!F52/Data!F$33=0,"",Data!F52/Data!F$33)</f>
        <v/>
      </c>
      <c r="F228" s="394" t="str">
        <f>IF(Data!G52/Data!G$33=0,"",Data!G52/Data!G$33)</f>
        <v/>
      </c>
      <c r="G228" s="301"/>
      <c r="H228" s="301"/>
      <c r="I228" s="301"/>
      <c r="J228" s="301"/>
    </row>
    <row r="229" spans="1:10" ht="12.75" customHeight="1" x14ac:dyDescent="0.15">
      <c r="A229" s="349" t="str">
        <f>Data!A53</f>
        <v>Common stock + Capital in excess of par value</v>
      </c>
      <c r="B229" s="394">
        <f>IF(Data!C53/Data!C$33=0,"",Data!C53/Data!C$33)</f>
        <v>7.732244823078864E-2</v>
      </c>
      <c r="C229" s="394">
        <f>IF(Data!D53/Data!D$33=0,"",Data!D53/Data!D$33)</f>
        <v>7.851256001022934E-2</v>
      </c>
      <c r="D229" s="394">
        <f>IF(Data!E53/Data!E$33=0,"",Data!E53/Data!E$33)</f>
        <v>7.419765262425336E-2</v>
      </c>
      <c r="E229" s="394">
        <f>IF(Data!F53/Data!F$33=0,"",Data!F53/Data!F$33)</f>
        <v>6.7054285989779194E-2</v>
      </c>
      <c r="F229" s="394">
        <f>IF(Data!G53/Data!G$33=0,"",Data!G53/Data!G$33)</f>
        <v>6.3016605919074986E-2</v>
      </c>
      <c r="G229" s="301"/>
      <c r="H229" s="384"/>
      <c r="I229" s="301"/>
      <c r="J229" s="301"/>
    </row>
    <row r="230" spans="1:10" ht="12.75" customHeight="1" x14ac:dyDescent="0.15">
      <c r="A230" s="349" t="str">
        <f>Data!A54</f>
        <v xml:space="preserve">Retained earnings </v>
      </c>
      <c r="B230" s="394">
        <f>IF(Data!C54/Data!C$33=0,"",Data!C54/Data!C$33)</f>
        <v>8.1716238218634621E-2</v>
      </c>
      <c r="C230" s="394">
        <f>IF(Data!D54/Data!D$33=0,"",Data!D54/Data!D$33)</f>
        <v>0.1068757483115766</v>
      </c>
      <c r="D230" s="394">
        <f>IF(Data!E54/Data!E$33=0,"",Data!E54/Data!E$33)</f>
        <v>0.12182188464642066</v>
      </c>
      <c r="E230" s="394">
        <f>IF(Data!F54/Data!F$33=0,"",Data!F54/Data!F$33)</f>
        <v>0.11925561662327647</v>
      </c>
      <c r="F230" s="394">
        <f>IF(Data!G54/Data!G$33=0,"",Data!G54/Data!G$33)</f>
        <v>0.11372339557151831</v>
      </c>
      <c r="G230" s="301"/>
      <c r="H230" s="301"/>
      <c r="I230" s="301"/>
      <c r="J230" s="301"/>
    </row>
    <row r="231" spans="1:10" ht="12.75" customHeight="1" x14ac:dyDescent="0.15">
      <c r="A231" s="349" t="str">
        <f>Data!A55</f>
        <v>Accumulated other comprehensive income</v>
      </c>
      <c r="B231" s="394">
        <f>IF(Data!C55/Data!C$33=0,"",Data!C55/Data!C$33)</f>
        <v>7.8319994496296466E-2</v>
      </c>
      <c r="C231" s="394">
        <f>IF(Data!D55/Data!D$33=0,"",Data!D55/Data!D$33)</f>
        <v>0.13341392818533718</v>
      </c>
      <c r="D231" s="394">
        <f>IF(Data!E55/Data!E$33=0,"",Data!E55/Data!E$33)</f>
        <v>0.13492927559250101</v>
      </c>
      <c r="E231" s="394">
        <f>IF(Data!F55/Data!F$33=0,"",Data!F55/Data!F$33)</f>
        <v>0.1082672837720567</v>
      </c>
      <c r="F231" s="394">
        <f>IF(Data!G55/Data!G$33=0,"",Data!G55/Data!G$33)</f>
        <v>0.12472361916051206</v>
      </c>
      <c r="G231" s="301"/>
      <c r="H231" s="301"/>
      <c r="I231" s="301"/>
      <c r="J231" s="301"/>
    </row>
    <row r="232" spans="1:10" ht="12.75" customHeight="1" x14ac:dyDescent="0.15">
      <c r="A232" s="349" t="str">
        <f>Data!A56</f>
        <v>Other reserves</v>
      </c>
      <c r="B232" s="394">
        <f>IF(Data!C56/Data!C$33=0,"",Data!C56/Data!C$33)</f>
        <v>0.42751163803976427</v>
      </c>
      <c r="C232" s="394">
        <f>IF(Data!D56/Data!D$33=0,"",Data!D56/Data!D$33)</f>
        <v>0.43737663756727546</v>
      </c>
      <c r="D232" s="394">
        <f>IF(Data!E56/Data!E$33=0,"",Data!E56/Data!E$33)</f>
        <v>0.24924536438119879</v>
      </c>
      <c r="E232" s="394">
        <f>IF(Data!F56/Data!F$33=0,"",Data!F56/Data!F$33)</f>
        <v>0.26610934336129599</v>
      </c>
      <c r="F232" s="394">
        <f>IF(Data!G56/Data!G$33=0,"",Data!G56/Data!G$33)</f>
        <v>0.28649203064943729</v>
      </c>
      <c r="G232" s="301"/>
      <c r="H232" s="301"/>
      <c r="I232" s="301"/>
      <c r="J232" s="301"/>
    </row>
    <row r="233" spans="1:10" ht="12.75" customHeight="1" x14ac:dyDescent="0.15">
      <c r="A233" s="260" t="str">
        <f>Data!A57</f>
        <v xml:space="preserve"> Total Common Shareholders' Equity</v>
      </c>
      <c r="B233" s="263">
        <f>IF(Data!C57/Data!C$33=0,"",Data!C57/Data!C$33)</f>
        <v>0.66487031898548399</v>
      </c>
      <c r="C233" s="263">
        <f>IF(Data!D57/Data!D$33=0,"",Data!D57/Data!D$33)</f>
        <v>0.75617887407441853</v>
      </c>
      <c r="D233" s="263">
        <f>IF(Data!E57/Data!E$33=0,"",Data!E57/Data!E$33)</f>
        <v>0.58019417724437383</v>
      </c>
      <c r="E233" s="263">
        <f>IF(Data!F57/Data!F$33=0,"",Data!F57/Data!F$33)</f>
        <v>0.56068652974640831</v>
      </c>
      <c r="F233" s="263">
        <f>IF(Data!G57/Data!G$33=0,"",Data!G57/Data!G$33)</f>
        <v>0.58795565130054273</v>
      </c>
      <c r="G233" s="301"/>
      <c r="H233" s="301"/>
      <c r="I233" s="301"/>
      <c r="J233" s="301"/>
    </row>
    <row r="234" spans="1:10" ht="12.75" customHeight="1" x14ac:dyDescent="0.15">
      <c r="A234" s="349" t="str">
        <f>Data!A58</f>
        <v>Noncontrolling interests</v>
      </c>
      <c r="B234" s="394">
        <f>IF(Data!C58/Data!C$33=0,"",Data!C58/Data!C$33)</f>
        <v>1.3300616873437751E-4</v>
      </c>
      <c r="C234" s="394">
        <f>IF(Data!D58/Data!D$33=0,"",Data!D58/Data!D$33)</f>
        <v>1.6041475350761972E-4</v>
      </c>
      <c r="D234" s="394">
        <f>IF(Data!E58/Data!E$33=0,"",Data!E58/Data!E$33)</f>
        <v>1.7078033805967917E-4</v>
      </c>
      <c r="E234" s="394">
        <f>IF(Data!F58/Data!F$33=0,"",Data!F58/Data!F$33)</f>
        <v>1.4077716710056892E-4</v>
      </c>
      <c r="F234" s="394">
        <f>IF(Data!G58/Data!G$33=0,"",Data!G58/Data!G$33)</f>
        <v>7.9853212051091851E-5</v>
      </c>
      <c r="G234" s="301"/>
      <c r="H234" s="301"/>
      <c r="I234" s="301"/>
      <c r="J234" s="301"/>
    </row>
    <row r="235" spans="1:10" ht="12.75" customHeight="1" x14ac:dyDescent="0.15">
      <c r="A235" s="260" t="str">
        <f>Data!A59</f>
        <v xml:space="preserve">  Total Equity</v>
      </c>
      <c r="B235" s="263">
        <f>IF(Data!C59/Data!C$33=0,"",Data!C59/Data!C$33)</f>
        <v>0.66500332515421834</v>
      </c>
      <c r="C235" s="263">
        <f>IF(Data!D59/Data!D$33=0,"",Data!D59/Data!D$33)</f>
        <v>0.54849291501505348</v>
      </c>
      <c r="D235" s="263">
        <f>IF(Data!E59/Data!E$33=0,"",Data!E59/Data!E$33)</f>
        <v>0.58036495758243345</v>
      </c>
      <c r="E235" s="263">
        <f>IF(Data!F59/Data!F$33=0,"",Data!F59/Data!F$33)</f>
        <v>0.56082730691350891</v>
      </c>
      <c r="F235" s="263">
        <f>IF(Data!G59/Data!G$33=0,"",Data!G59/Data!G$33)</f>
        <v>0.58803550451259379</v>
      </c>
      <c r="G235" s="301"/>
      <c r="H235" s="301"/>
      <c r="I235" s="301"/>
      <c r="J235" s="301"/>
    </row>
    <row r="236" spans="1:10" ht="12.75" customHeight="1" x14ac:dyDescent="0.15">
      <c r="A236" s="260" t="str">
        <f>Data!A60</f>
        <v xml:space="preserve">  Total Liabilities and Equities</v>
      </c>
      <c r="B236" s="263">
        <f>IF(Data!C60/Data!C$33=0,"",Data!C60/Data!C$33)</f>
        <v>0.99999770679019429</v>
      </c>
      <c r="C236" s="263">
        <f>IF(Data!D60/Data!D$33=0,"",Data!D60/Data!D$33)</f>
        <v>1.0000023248515</v>
      </c>
      <c r="D236" s="263">
        <f>IF(Data!E60/Data!E$33=0,"",Data!E60/Data!E$33)</f>
        <v>1.0000085390169029</v>
      </c>
      <c r="E236" s="263">
        <f>IF(Data!F60/Data!F$33=0,"",Data!F60/Data!F$33)</f>
        <v>1.0000077138173755</v>
      </c>
      <c r="F236" s="263">
        <f>IF(Data!G60/Data!G$33=0,"",Data!G60/Data!G$33)</f>
        <v>1.0000000000000002</v>
      </c>
      <c r="G236" s="301"/>
      <c r="H236" s="301"/>
      <c r="I236" s="301"/>
      <c r="J236" s="301"/>
    </row>
    <row r="237" spans="1:10" ht="12.75" customHeight="1" x14ac:dyDescent="0.15">
      <c r="A237" s="37"/>
      <c r="B237" s="396"/>
      <c r="C237" s="396"/>
      <c r="D237" s="396"/>
      <c r="E237" s="396"/>
      <c r="F237" s="396"/>
      <c r="G237" s="301"/>
      <c r="H237" s="301"/>
      <c r="I237" s="301"/>
      <c r="J237" s="301"/>
    </row>
    <row r="238" spans="1:10" ht="12.75" customHeight="1" thickBot="1" x14ac:dyDescent="0.2">
      <c r="A238" s="301"/>
      <c r="B238" s="396"/>
      <c r="C238" s="396"/>
      <c r="D238" s="396"/>
      <c r="E238" s="396"/>
      <c r="F238" s="396"/>
      <c r="G238" s="301"/>
      <c r="H238" s="301"/>
      <c r="I238" s="301"/>
      <c r="J238" s="301"/>
    </row>
    <row r="239" spans="1:10" ht="12.75" customHeight="1" thickBot="1" x14ac:dyDescent="0.2">
      <c r="A239" s="49" t="s">
        <v>352</v>
      </c>
      <c r="B239" s="397"/>
      <c r="C239" s="397"/>
      <c r="D239" s="397"/>
      <c r="E239" s="397"/>
      <c r="F239" s="397"/>
      <c r="G239" s="398"/>
      <c r="H239" s="301"/>
      <c r="I239" s="301"/>
      <c r="J239" s="37" t="s">
        <v>353</v>
      </c>
    </row>
    <row r="240" spans="1:10" ht="12.75" customHeight="1" thickBot="1" x14ac:dyDescent="0.2">
      <c r="A240" s="38" t="s">
        <v>207</v>
      </c>
      <c r="B240" s="39">
        <f>Data!$C$11</f>
        <v>2020</v>
      </c>
      <c r="C240" s="39">
        <f>Data!$D$11</f>
        <v>2021</v>
      </c>
      <c r="D240" s="39">
        <f>Data!$E$11</f>
        <v>2022</v>
      </c>
      <c r="E240" s="39">
        <f>Data!$F$11</f>
        <v>2023</v>
      </c>
      <c r="F240" s="39">
        <f>Data!$G$11</f>
        <v>2024</v>
      </c>
      <c r="G240" s="39"/>
      <c r="H240" s="301"/>
      <c r="I240" s="301"/>
      <c r="J240" s="301"/>
    </row>
    <row r="241" spans="1:10" ht="12.75" customHeight="1" x14ac:dyDescent="0.15">
      <c r="A241" s="35"/>
      <c r="B241" s="62"/>
      <c r="C241" s="399"/>
      <c r="D241" s="62"/>
      <c r="E241" s="399"/>
      <c r="F241" s="399"/>
      <c r="G241" s="63" t="s">
        <v>343</v>
      </c>
      <c r="H241" s="301"/>
      <c r="I241" s="301"/>
      <c r="J241" s="301"/>
    </row>
    <row r="242" spans="1:10" ht="12.75" customHeight="1" x14ac:dyDescent="0.15">
      <c r="A242" s="299"/>
      <c r="B242" s="62"/>
      <c r="C242" s="399"/>
      <c r="D242" s="399"/>
      <c r="E242" s="399"/>
      <c r="F242" s="399"/>
      <c r="G242" s="63" t="s">
        <v>344</v>
      </c>
      <c r="H242" s="301"/>
      <c r="I242" s="301"/>
      <c r="J242" s="301"/>
    </row>
    <row r="243" spans="1:10" ht="12.75" customHeight="1" x14ac:dyDescent="0.15">
      <c r="A243" s="18" t="str">
        <f>Data!A15</f>
        <v>Assets:</v>
      </c>
      <c r="B243" s="58" t="s">
        <v>345</v>
      </c>
      <c r="C243" s="63"/>
      <c r="D243" s="63"/>
      <c r="E243" s="399"/>
      <c r="F243" s="399"/>
      <c r="G243" s="63" t="s">
        <v>346</v>
      </c>
      <c r="H243" s="301"/>
      <c r="I243" s="301"/>
      <c r="J243" s="301"/>
    </row>
    <row r="244" spans="1:10" ht="12.75" customHeight="1" x14ac:dyDescent="0.15">
      <c r="A244" s="349" t="str">
        <f>Data!A16</f>
        <v>Cash and cash equivalents</v>
      </c>
      <c r="B244" s="394">
        <f>IF(ISERROR(Data!C16/Data!B16-1),"",Data!C16/Data!B16-1)</f>
        <v>0.21186152099886479</v>
      </c>
      <c r="C244" s="394">
        <f>IF(ISERROR(Data!D16/Data!C16-1),"",Data!D16/Data!C16-1)</f>
        <v>-0.57635929377605022</v>
      </c>
      <c r="D244" s="394">
        <f>IF(ISERROR(Data!E16/Data!D16-1),"",Data!E16/Data!D16-1)</f>
        <v>-3.5411599970521124E-2</v>
      </c>
      <c r="E244" s="394">
        <f>IF(ISERROR(Data!F16/Data!E16-1),"",Data!F16/Data!E16-1)</f>
        <v>0.6381174313328497</v>
      </c>
      <c r="F244" s="394">
        <f>IF(ISERROR(Data!G16/Data!F16-1),"",Data!G16/Data!F16-1)</f>
        <v>-5.498938923998975E-2</v>
      </c>
      <c r="G244" s="394">
        <f>IF(ISERROR((Data!G16/Data!B16)^(1/5)-1),"",(Data!G16/Data!B16)^(1/5)-1)</f>
        <v>-5.1767391306561161E-2</v>
      </c>
      <c r="H244" s="301"/>
      <c r="I244" s="301"/>
      <c r="J244" s="301" t="s">
        <v>354</v>
      </c>
    </row>
    <row r="245" spans="1:10" ht="12.75" customHeight="1" x14ac:dyDescent="0.15">
      <c r="A245" s="349" t="str">
        <f>Data!A17</f>
        <v>Marketable securities</v>
      </c>
      <c r="B245" s="394" t="str">
        <f>IF(ISERROR(Data!C17/Data!B17-1),"",Data!C17/Data!B17-1)</f>
        <v/>
      </c>
      <c r="C245" s="394" t="str">
        <f>IF(ISERROR(Data!D17/Data!C17-1),"",Data!D17/Data!C17-1)</f>
        <v/>
      </c>
      <c r="D245" s="394" t="str">
        <f>IF(ISERROR(Data!E17/Data!D17-1),"",Data!E17/Data!D17-1)</f>
        <v/>
      </c>
      <c r="E245" s="394" t="str">
        <f>IF(ISERROR(Data!F17/Data!E17-1),"",Data!F17/Data!E17-1)</f>
        <v/>
      </c>
      <c r="F245" s="394" t="str">
        <f>IF(ISERROR(Data!G17/Data!F17-1),"",Data!G17/Data!F17-1)</f>
        <v/>
      </c>
      <c r="G245" s="394" t="str">
        <f>IF(ISERROR((Data!G17/Data!B17)^(1/5)-1),"",(Data!G17/Data!B17)^(1/5)-1)</f>
        <v/>
      </c>
      <c r="H245" s="301"/>
      <c r="I245" s="301"/>
      <c r="J245" s="301" t="s">
        <v>355</v>
      </c>
    </row>
    <row r="246" spans="1:10" ht="12.75" customHeight="1" x14ac:dyDescent="0.15">
      <c r="A246" s="349" t="str">
        <f>Data!A18</f>
        <v>Accounts and notes receivable - net</v>
      </c>
      <c r="B246" s="394">
        <f>IF(ISERROR(Data!C18/Data!B18-1),"",Data!C18/Data!B18-1)</f>
        <v>-0.14079819903589685</v>
      </c>
      <c r="C246" s="394">
        <f>IF(ISERROR(Data!D18/Data!C18-1),"",Data!D18/Data!C18-1)</f>
        <v>0.14515991228319991</v>
      </c>
      <c r="D246" s="394">
        <f>IF(ISERROR(Data!E18/Data!D18-1),"",Data!E18/Data!D18-1)</f>
        <v>0.18266600348172091</v>
      </c>
      <c r="E246" s="394">
        <f>IF(ISERROR(Data!F18/Data!E18-1),"",Data!F18/Data!E18-1)</f>
        <v>7.0907370413205717E-2</v>
      </c>
      <c r="F246" s="394">
        <f>IF(ISERROR(Data!G18/Data!F18-1),"",Data!G18/Data!F18-1)</f>
        <v>9.996661888585634E-2</v>
      </c>
      <c r="G246" s="394">
        <f>IF(ISERROR((Data!G18/Data!B18)^(1/5)-1),"",(Data!G18/Data!B18)^(1/5)-1)</f>
        <v>6.5101431264656506E-2</v>
      </c>
      <c r="H246" s="301"/>
      <c r="I246" s="301"/>
      <c r="J246" s="301"/>
    </row>
    <row r="247" spans="1:10" ht="12.75" customHeight="1" x14ac:dyDescent="0.15">
      <c r="A247" s="349" t="str">
        <f>Data!A19</f>
        <v>Inventories</v>
      </c>
      <c r="B247" s="394">
        <f>IF(ISERROR(Data!C19/Data!B19-1),"",Data!C19/Data!B19-1)</f>
        <v>-8.38811284579567E-2</v>
      </c>
      <c r="C247" s="394">
        <f>IF(ISERROR(Data!D19/Data!C19-1),"",Data!D19/Data!C19-1)</f>
        <v>0.18353389640481343</v>
      </c>
      <c r="D247" s="394">
        <f>IF(ISERROR(Data!E19/Data!D19-1),"",Data!E19/Data!D19-1)</f>
        <v>0.28801035713157974</v>
      </c>
      <c r="E247" s="394">
        <f>IF(ISERROR(Data!F19/Data!E19-1),"",Data!F19/Data!E19-1)</f>
        <v>9.8896788428536331E-2</v>
      </c>
      <c r="F247" s="394">
        <f>IF(ISERROR(Data!G19/Data!F19-1),"",Data!G19/Data!F19-1)</f>
        <v>3.2951097626271908E-2</v>
      </c>
      <c r="G247" s="394">
        <f>IF(ISERROR((Data!G19/Data!B19)^(1/5)-1),"",(Data!G19/Data!B19)^(1/5)-1)</f>
        <v>9.6522910597786948E-2</v>
      </c>
      <c r="H247" s="301"/>
      <c r="I247" s="301"/>
      <c r="J247" s="301"/>
    </row>
    <row r="248" spans="1:10" ht="12.75" customHeight="1" x14ac:dyDescent="0.15">
      <c r="A248" s="349" t="str">
        <f>Data!A20</f>
        <v>Prepaid expenses and other current assets</v>
      </c>
      <c r="B248" s="394">
        <f>IF(ISERROR(Data!C20/Data!B20-1),"",Data!C20/Data!B20-1)</f>
        <v>0.17479151128890091</v>
      </c>
      <c r="C248" s="394">
        <f>IF(ISERROR(Data!D20/Data!C20-1),"",Data!D20/Data!C20-1)</f>
        <v>0.17614128239164306</v>
      </c>
      <c r="D248" s="394">
        <f>IF(ISERROR(Data!E20/Data!D20-1),"",Data!E20/Data!D20-1)</f>
        <v>0.18906717699592712</v>
      </c>
      <c r="E248" s="394">
        <f>IF(ISERROR(Data!F20/Data!E20-1),"",Data!F20/Data!E20-1)</f>
        <v>-6.2974579068999614E-2</v>
      </c>
      <c r="F248" s="394">
        <f>IF(ISERROR(Data!G20/Data!F20-1),"",Data!G20/Data!F20-1)</f>
        <v>-0.13886197480842066</v>
      </c>
      <c r="G248" s="394">
        <f>IF(ISERROR((Data!G20/Data!B20)^(1/5)-1),"",(Data!G20/Data!B20)^(1/5)-1)</f>
        <v>5.8010955918892826E-2</v>
      </c>
      <c r="H248" s="301"/>
      <c r="I248" s="301"/>
      <c r="J248" s="301"/>
    </row>
    <row r="249" spans="1:10" ht="12.75" customHeight="1" x14ac:dyDescent="0.15">
      <c r="A249" s="349" t="str">
        <f>Data!A21</f>
        <v>Other current assets (1) - current tax assets</v>
      </c>
      <c r="B249" s="394">
        <f>IF(ISERROR(Data!C21/Data!B21-1),"",Data!C21/Data!B21-1)</f>
        <v>0.58271438217420668</v>
      </c>
      <c r="C249" s="394">
        <f>IF(ISERROR(Data!D21/Data!C21-1),"",Data!D21/Data!C21-1)</f>
        <v>-0.41894197952218437</v>
      </c>
      <c r="D249" s="394">
        <f>IF(ISERROR(Data!E21/Data!D21-1),"",Data!E21/Data!D21-1)</f>
        <v>0.27679882525697508</v>
      </c>
      <c r="E249" s="394">
        <f>IF(ISERROR(Data!F21/Data!E21-1),"",Data!F21/Data!E21-1)</f>
        <v>0.10178263369752716</v>
      </c>
      <c r="F249" s="394">
        <f>IF(ISERROR(Data!G21/Data!F21-1),"",Data!G21/Data!F21-1)</f>
        <v>0.22181628392484343</v>
      </c>
      <c r="G249" s="394">
        <f>IF(ISERROR((Data!G21/Data!B21)^(1/5)-1),"",(Data!G21/Data!B21)^(1/5)-1)</f>
        <v>9.5895821513774848E-2</v>
      </c>
      <c r="H249" s="301"/>
      <c r="I249" s="301"/>
      <c r="J249" s="301"/>
    </row>
    <row r="250" spans="1:10" ht="12.75" customHeight="1" x14ac:dyDescent="0.15">
      <c r="A250" s="349" t="str">
        <f>Data!A22</f>
        <v>Other current assets (2)</v>
      </c>
      <c r="B250" s="394" t="str">
        <f>IF(ISERROR(Data!C22/Data!B22-1),"",Data!C22/Data!B22-1)</f>
        <v/>
      </c>
      <c r="C250" s="394" t="str">
        <f>IF(ISERROR(Data!D22/Data!C22-1),"",Data!D22/Data!C22-1)</f>
        <v/>
      </c>
      <c r="D250" s="394" t="str">
        <f>IF(ISERROR(Data!E22/Data!D22-1),"",Data!E22/Data!D22-1)</f>
        <v/>
      </c>
      <c r="E250" s="394" t="str">
        <f>IF(ISERROR(Data!F22/Data!E22-1),"",Data!F22/Data!E22-1)</f>
        <v/>
      </c>
      <c r="F250" s="394" t="str">
        <f>IF(ISERROR(Data!G22/Data!F22-1),"",Data!G22/Data!F22-1)</f>
        <v/>
      </c>
      <c r="G250" s="394" t="str">
        <f>IF(ISERROR((Data!G22/Data!B22)^(1/5)-1),"",(Data!G22/Data!B22)^(1/5)-1)</f>
        <v/>
      </c>
      <c r="H250" s="301"/>
      <c r="I250" s="301"/>
      <c r="J250" s="301"/>
    </row>
    <row r="251" spans="1:10" ht="12.75" customHeight="1" x14ac:dyDescent="0.15">
      <c r="A251" s="260" t="str">
        <f>Data!A23</f>
        <v xml:space="preserve">  Current Assets</v>
      </c>
      <c r="B251" s="263">
        <f>IF(ISERROR(Data!C23/Data!B23-1),"",Data!C23/Data!B23-1)</f>
        <v>4.6247260446232952E-2</v>
      </c>
      <c r="C251" s="263">
        <f>IF(ISERROR(Data!D23/Data!C23-1),"",Data!D23/Data!C23-1)</f>
        <v>-0.17062382813304844</v>
      </c>
      <c r="D251" s="263">
        <f>IF(ISERROR(Data!E23/Data!D23-1),"",Data!E23/Data!D23-1)</f>
        <v>0.16342602560492892</v>
      </c>
      <c r="E251" s="263">
        <f>IF(ISERROR(Data!F23/Data!E23-1),"",Data!F23/Data!E23-1)</f>
        <v>0.16200807157651975</v>
      </c>
      <c r="F251" s="263">
        <f>IF(ISERROR(Data!G23/Data!F23-1),"",Data!G23/Data!F23-1)</f>
        <v>9.0778786430960601E-3</v>
      </c>
      <c r="G251" s="263">
        <f>IF(ISERROR((Data!G23/Data!B23)^(1/5)-1),"",(Data!G23/Data!B23)^(1/5)-1)</f>
        <v>3.431232190077349E-2</v>
      </c>
      <c r="H251" s="301"/>
      <c r="I251" s="301"/>
      <c r="J251" s="301"/>
    </row>
    <row r="252" spans="1:10" ht="12.75" customHeight="1" x14ac:dyDescent="0.15">
      <c r="A252" s="349" t="str">
        <f>Data!A24</f>
        <v>Investments in noncontrolled affiliates</v>
      </c>
      <c r="B252" s="394">
        <f>IF(ISERROR(Data!C24/Data!B24-1),"",Data!C24/Data!B24-1)</f>
        <v>1.8348623853210899E-2</v>
      </c>
      <c r="C252" s="394">
        <f>IF(ISERROR(Data!D24/Data!C24-1),"",Data!D24/Data!C24-1)</f>
        <v>-0.108108108108108</v>
      </c>
      <c r="D252" s="394">
        <f>IF(ISERROR(Data!E24/Data!D24-1),"",Data!E24/Data!D24-1)</f>
        <v>0.85858585858585834</v>
      </c>
      <c r="E252" s="394">
        <f>IF(ISERROR(Data!F24/Data!E24-1),"",Data!F24/Data!E24-1)</f>
        <v>0.46739130434782616</v>
      </c>
      <c r="F252" s="394">
        <f>IF(ISERROR(Data!G24/Data!F24-1),"",Data!G24/Data!F24-1)</f>
        <v>3.681481481481482</v>
      </c>
      <c r="G252" s="394">
        <f>IF(ISERROR((Data!G24/Data!B24)^(1/5)-1),"",(Data!G24/Data!B24)^(1/5)-1)</f>
        <v>0.63254106822052325</v>
      </c>
      <c r="H252" s="301"/>
      <c r="I252" s="301"/>
      <c r="J252" s="301"/>
    </row>
    <row r="253" spans="1:10" ht="12.75" customHeight="1" x14ac:dyDescent="0.15">
      <c r="A253" s="349" t="str">
        <f>Data!A25</f>
        <v>Property, plant, and equipment - at cost</v>
      </c>
      <c r="B253" s="394">
        <f>IF(ISERROR(Data!C25/Data!B25-1),"",Data!C25/Data!B25-1)</f>
        <v>-0.1150015092061577</v>
      </c>
      <c r="C253" s="394">
        <f>IF(ISERROR(Data!D25/Data!C25-1),"",Data!D25/Data!C25-1)</f>
        <v>1.2712389929306678E-2</v>
      </c>
      <c r="D253" s="394">
        <f>IF(ISERROR(Data!E25/Data!D25-1),"",Data!E25/Data!D25-1)</f>
        <v>6.5978813299859107E-2</v>
      </c>
      <c r="E253" s="394">
        <f>IF(ISERROR(Data!F25/Data!E25-1),"",Data!F25/Data!E25-1)</f>
        <v>0.11086538185369221</v>
      </c>
      <c r="F253" s="394">
        <f>IF(ISERROR(Data!G25/Data!F25-1),"",Data!G25/Data!F25-1)</f>
        <v>8.6433797864363893E-2</v>
      </c>
      <c r="G253" s="394">
        <f>IF(ISERROR((Data!G25/Data!B25)^(1/5)-1),"",(Data!G25/Data!B25)^(1/5)-1)</f>
        <v>2.888867131829409E-2</v>
      </c>
      <c r="H253" s="301"/>
      <c r="I253" s="301"/>
      <c r="J253" s="301"/>
    </row>
    <row r="254" spans="1:10" ht="12.75" customHeight="1" x14ac:dyDescent="0.15">
      <c r="A254" s="349" t="str">
        <f>Data!A26</f>
        <v>&lt;Accumulated depreciation&gt;</v>
      </c>
      <c r="B254" s="394" t="str">
        <f>IF(ISERROR(Data!C26/Data!B26-1),"",Data!C26/Data!B26-1)</f>
        <v/>
      </c>
      <c r="C254" s="394" t="str">
        <f>IF(ISERROR(Data!D26/Data!C26-1),"",Data!D26/Data!C26-1)</f>
        <v/>
      </c>
      <c r="D254" s="394" t="str">
        <f>IF(ISERROR(Data!E26/Data!D26-1),"",Data!E26/Data!D26-1)</f>
        <v/>
      </c>
      <c r="E254" s="394" t="str">
        <f>IF(ISERROR(Data!F26/Data!E26-1),"",Data!F26/Data!E26-1)</f>
        <v/>
      </c>
      <c r="F254" s="394" t="str">
        <f>IF(ISERROR(Data!G26/Data!F26-1),"",Data!G26/Data!F26-1)</f>
        <v/>
      </c>
      <c r="G254" s="394" t="str">
        <f>IF(ISERROR((Data!G26/Data!B26)^(1/5)-1),"",(Data!G26/Data!B26)^(1/5)-1)</f>
        <v/>
      </c>
      <c r="H254" s="301"/>
      <c r="I254" s="301"/>
      <c r="J254" s="301"/>
    </row>
    <row r="255" spans="1:10" ht="12.75" customHeight="1" x14ac:dyDescent="0.15">
      <c r="A255" s="349" t="str">
        <f>Data!A27</f>
        <v>Operating lease right-of-use assets</v>
      </c>
      <c r="B255" s="394">
        <f>IF(ISERROR(Data!C27/Data!B27-1),"",Data!C27/Data!B27-1)</f>
        <v>-0.1939438778206416</v>
      </c>
      <c r="C255" s="394">
        <f>IF(ISERROR(Data!D27/Data!C27-1),"",Data!D27/Data!C27-1)</f>
        <v>-1.1604274568937312E-2</v>
      </c>
      <c r="D255" s="394">
        <f>IF(ISERROR(Data!E27/Data!D27-1),"",Data!E27/Data!D27-1)</f>
        <v>-1.6516317325550478E-2</v>
      </c>
      <c r="E255" s="394">
        <f>IF(ISERROR(Data!F27/Data!E27-1),"",Data!F27/Data!E27-1)</f>
        <v>0.14143117286032236</v>
      </c>
      <c r="F255" s="394">
        <f>IF(ISERROR(Data!G27/Data!F27-1),"",Data!G27/Data!F27-1)</f>
        <v>4.1834081777357479E-2</v>
      </c>
      <c r="G255" s="394">
        <f>IF(ISERROR((Data!G27/Data!B27)^(1/5)-1),"",(Data!G27/Data!B27)^(1/5)-1)</f>
        <v>-1.4033140589870263E-2</v>
      </c>
      <c r="H255" s="301"/>
      <c r="I255" s="301"/>
      <c r="J255" s="301"/>
    </row>
    <row r="256" spans="1:10" ht="12.75" customHeight="1" x14ac:dyDescent="0.15">
      <c r="A256" s="349" t="str">
        <f>Data!A28</f>
        <v>Finance lease-right-of-use assets</v>
      </c>
      <c r="B256" s="394" t="str">
        <f>IF(ISERROR(Data!C28/Data!B28-1),"",Data!C28/Data!B28-1)</f>
        <v/>
      </c>
      <c r="C256" s="394" t="str">
        <f>IF(ISERROR(Data!D28/Data!C28-1),"",Data!D28/Data!C28-1)</f>
        <v/>
      </c>
      <c r="D256" s="394" t="str">
        <f>IF(ISERROR(Data!E28/Data!D28-1),"",Data!E28/Data!D28-1)</f>
        <v/>
      </c>
      <c r="E256" s="394" t="str">
        <f>IF(ISERROR(Data!F28/Data!E28-1),"",Data!F28/Data!E28-1)</f>
        <v/>
      </c>
      <c r="F256" s="394" t="str">
        <f>IF(ISERROR(Data!G28/Data!F28-1),"",Data!G28/Data!F28-1)</f>
        <v/>
      </c>
      <c r="G256" s="394" t="str">
        <f>IF(ISERROR((Data!G28/Data!B28)^(1/5)-1),"",(Data!G28/Data!B28)^(1/5)-1)</f>
        <v/>
      </c>
      <c r="H256" s="301"/>
      <c r="I256" s="301"/>
      <c r="J256" s="301"/>
    </row>
    <row r="257" spans="1:7" ht="12.75" customHeight="1" x14ac:dyDescent="0.15">
      <c r="A257" s="349" t="str">
        <f>Data!A29</f>
        <v>Goodwill</v>
      </c>
      <c r="B257" s="394">
        <f>IF(ISERROR(Data!C29/Data!B29-1),"",Data!C29/Data!B29-1)</f>
        <v>9.6874478384243012E-2</v>
      </c>
      <c r="C257" s="394">
        <f>IF(ISERROR(Data!D29/Data!C29-1),"",Data!D29/Data!C29-1)</f>
        <v>5.3289836601928764E-2</v>
      </c>
      <c r="D257" s="394">
        <f>IF(ISERROR(Data!E29/Data!D29-1),"",Data!E29/Data!D29-1)</f>
        <v>5.8079371529188739E-2</v>
      </c>
      <c r="E257" s="394">
        <f>IF(ISERROR(Data!F29/Data!E29-1),"",Data!F29/Data!E29-1)</f>
        <v>0.11818872304291794</v>
      </c>
      <c r="F257" s="394">
        <f>IF(ISERROR(Data!G29/Data!F29-1),"",Data!G29/Data!F29-1)</f>
        <v>2.1324012028147044E-2</v>
      </c>
      <c r="G257" s="394">
        <f>IF(ISERROR((Data!G29/Data!B29)^(1/5)-1),"",(Data!G29/Data!B29)^(1/5)-1)</f>
        <v>6.9006496931075079E-2</v>
      </c>
    </row>
    <row r="258" spans="1:7" ht="12.75" customHeight="1" x14ac:dyDescent="0.15">
      <c r="A258" s="349" t="str">
        <f>Data!A30</f>
        <v>Other nonamortizable intangible assets</v>
      </c>
      <c r="B258" s="394">
        <f>IF(ISERROR(Data!C30/Data!B30-1),"",Data!C30/Data!B30-1)</f>
        <v>6.0876161577849475E-2</v>
      </c>
      <c r="C258" s="394">
        <f>IF(ISERROR(Data!D30/Data!C30-1),"",Data!D30/Data!C30-1)</f>
        <v>3.1700631629126397E-2</v>
      </c>
      <c r="D258" s="394">
        <f>IF(ISERROR(Data!E30/Data!D30-1),"",Data!E30/Data!D30-1)</f>
        <v>5.1201339956104874E-2</v>
      </c>
      <c r="E258" s="394">
        <f>IF(ISERROR(Data!F30/Data!E30-1),"",Data!F30/Data!E30-1)</f>
        <v>0.17774236971511792</v>
      </c>
      <c r="F258" s="394">
        <f>IF(ISERROR(Data!G30/Data!F30-1),"",Data!G30/Data!F30-1)</f>
        <v>7.177345991462758E-2</v>
      </c>
      <c r="G258" s="394">
        <f>IF(ISERROR((Data!G30/Data!B30)^(1/5)-1),"",(Data!G30/Data!B30)^(1/5)-1)</f>
        <v>7.7485707602062304E-2</v>
      </c>
    </row>
    <row r="259" spans="1:7" ht="12.75" customHeight="1" x14ac:dyDescent="0.15">
      <c r="A259" s="349" t="str">
        <f>Data!A31</f>
        <v>Deferred tax assets - non current</v>
      </c>
      <c r="B259" s="394">
        <f>IF(ISERROR(Data!C31/Data!B31-1),"",Data!C31/Data!B31-1)</f>
        <v>4.1940048887173509E-2</v>
      </c>
      <c r="C259" s="394">
        <f>IF(ISERROR(Data!D31/Data!C31-1),"",Data!D31/Data!C31-1)</f>
        <v>-0.14001728608470176</v>
      </c>
      <c r="D259" s="394">
        <f>IF(ISERROR(Data!E31/Data!D31-1),"",Data!E31/Data!D31-1)</f>
        <v>0.1501794687724336</v>
      </c>
      <c r="E259" s="394">
        <f>IF(ISERROR(Data!F31/Data!E31-1),"",Data!F31/Data!E31-1)</f>
        <v>0.14991886156534773</v>
      </c>
      <c r="F259" s="394">
        <f>IF(ISERROR(Data!G31/Data!F31-1),"",Data!G31/Data!F31-1)</f>
        <v>5.6556665219279045E-2</v>
      </c>
      <c r="G259" s="394">
        <f>IF(ISERROR((Data!G31/Data!B31)^(1/5)-1),"",(Data!G31/Data!B31)^(1/5)-1)</f>
        <v>4.5999823222378611E-2</v>
      </c>
    </row>
    <row r="260" spans="1:7" ht="12.75" customHeight="1" x14ac:dyDescent="0.15">
      <c r="A260" s="349" t="str">
        <f>Data!A32</f>
        <v xml:space="preserve">Other long-term assets </v>
      </c>
      <c r="B260" s="394">
        <f>IF(ISERROR(Data!C32/Data!B32-1),"",Data!C32/Data!B32-1)</f>
        <v>-0.11223669251601343</v>
      </c>
      <c r="C260" s="394">
        <f>IF(ISERROR(Data!D32/Data!C32-1),"",Data!D32/Data!C32-1)</f>
        <v>0.13695235715475618</v>
      </c>
      <c r="D260" s="394">
        <f>IF(ISERROR(Data!E32/Data!D32-1),"",Data!E32/Data!D32-1)</f>
        <v>6.7086683394076863E-2</v>
      </c>
      <c r="E260" s="394">
        <f>IF(ISERROR(Data!F32/Data!E32-1),"",Data!F32/Data!E32-1)</f>
        <v>-1.8193052313606461E-3</v>
      </c>
      <c r="F260" s="394">
        <f>IF(ISERROR(Data!G32/Data!F32-1),"",Data!G32/Data!F32-1)</f>
        <v>0.27567144674851263</v>
      </c>
      <c r="G260" s="394">
        <f>IF(ISERROR((Data!G32/Data!B32)^(1/5)-1),"",(Data!G32/Data!B32)^(1/5)-1)</f>
        <v>6.5215388362753091E-2</v>
      </c>
    </row>
    <row r="261" spans="1:7" ht="12.75" customHeight="1" x14ac:dyDescent="0.15">
      <c r="A261" s="264" t="str">
        <f>Data!A33</f>
        <v xml:space="preserve">   Total Assets</v>
      </c>
      <c r="B261" s="263">
        <f>IF(ISERROR(Data!C33/Data!B33-1),"",Data!C33/Data!B33-1)</f>
        <v>-4.6291012513181018E-3</v>
      </c>
      <c r="C261" s="263">
        <f>IF(ISERROR(Data!D33/Data!C33-1),"",Data!D33/Data!C33-1)</f>
        <v>-1.3610200197216038E-2</v>
      </c>
      <c r="D261" s="263">
        <f>IF(ISERROR(Data!E33/Data!D33-1),"",Data!E33/Data!D33-1)</f>
        <v>8.9048787008729979E-2</v>
      </c>
      <c r="E261" s="263">
        <f>IF(ISERROR(Data!F33/Data!E33-1),"",Data!F33/Data!E33-1)</f>
        <v>0.10697680376058272</v>
      </c>
      <c r="F261" s="263">
        <f>IF(ISERROR(Data!G33/Data!F33-1),"",Data!G33/Data!F33-1)</f>
        <v>8.6749590203452076E-2</v>
      </c>
      <c r="G261" s="263">
        <f>IF(ISERROR((Data!G33/Data!B33)^(1/5)-1),"",(Data!G33/Data!B33)^(1/5)-1)</f>
        <v>5.1646475401258884E-2</v>
      </c>
    </row>
    <row r="262" spans="1:7" customFormat="1" ht="12.75" customHeight="1" x14ac:dyDescent="0.15"/>
    <row r="263" spans="1:7" ht="12.75" customHeight="1" x14ac:dyDescent="0.15">
      <c r="A263" s="260" t="str">
        <f>Data!A35</f>
        <v>Liabilities and Equities:</v>
      </c>
      <c r="B263" s="79" t="str">
        <f>IF(ISERROR(Data!C35/Data!B35-1),"",Data!C35/Data!B35-1)</f>
        <v/>
      </c>
      <c r="C263" s="79" t="str">
        <f>IF(ISERROR(Data!D35/Data!C35-1),"",Data!D35/Data!C35-1)</f>
        <v/>
      </c>
      <c r="D263" s="79" t="str">
        <f>IF(ISERROR(Data!E35/Data!D35-1),"",Data!E35/Data!D35-1)</f>
        <v/>
      </c>
      <c r="E263" s="79" t="str">
        <f>IF(ISERROR(Data!F35/Data!E35-1),"",Data!F35/Data!E35-1)</f>
        <v/>
      </c>
      <c r="F263" s="79" t="str">
        <f>IF(ISERROR(Data!G35/Data!F35-1),"",Data!G35/Data!F35-1)</f>
        <v/>
      </c>
      <c r="G263" s="79" t="str">
        <f>IF(ISERROR((Data!G35/Data!B35)^(1/5)-1),"",(Data!G35/Data!B35)^(1/5)-1)</f>
        <v/>
      </c>
    </row>
    <row r="264" spans="1:7" ht="12.75" customHeight="1" x14ac:dyDescent="0.15">
      <c r="A264" s="400" t="str">
        <f>Data!A36</f>
        <v>Accounts payable</v>
      </c>
      <c r="B264" s="394">
        <f>IF(ISERROR(Data!C36/Data!B36-1),"",Data!C36/Data!B36-1)</f>
        <v>2.2776060449940072E-2</v>
      </c>
      <c r="C264" s="394">
        <f>IF(ISERROR(Data!D36/Data!C36-1),"",Data!D36/Data!C36-1)</f>
        <v>0.27360688424808477</v>
      </c>
      <c r="D264" s="394">
        <f>IF(ISERROR(Data!E36/Data!D36-1),"",Data!E36/Data!D36-1)</f>
        <v>4.5730953675779951E-2</v>
      </c>
      <c r="E264" s="394">
        <f>IF(ISERROR(Data!F36/Data!E36-1),"",Data!F36/Data!E36-1)</f>
        <v>2.2062531517885731E-4</v>
      </c>
      <c r="F264" s="394">
        <f>IF(ISERROR(Data!G36/Data!F36-1),"",Data!G36/Data!F36-1)</f>
        <v>1.9142902158500119E-2</v>
      </c>
      <c r="G264" s="394">
        <f>IF(ISERROR((Data!G36/Data!B36)^(1/5)-1),"",(Data!G36/Data!B36)^(1/5)-1)</f>
        <v>6.7857644691997177E-2</v>
      </c>
    </row>
    <row r="265" spans="1:7" ht="12.75" customHeight="1" x14ac:dyDescent="0.15">
      <c r="A265" s="400" t="str">
        <f>Data!A37</f>
        <v>Current accrued liabilities</v>
      </c>
      <c r="B265" s="394" t="str">
        <f>IF(ISERROR(Data!C37/Data!B37-1),"",Data!C37/Data!B37-1)</f>
        <v/>
      </c>
      <c r="C265" s="394" t="str">
        <f>IF(ISERROR(Data!D37/Data!C37-1),"",Data!D37/Data!C37-1)</f>
        <v/>
      </c>
      <c r="D265" s="394" t="str">
        <f>IF(ISERROR(Data!E37/Data!D37-1),"",Data!E37/Data!D37-1)</f>
        <v/>
      </c>
      <c r="E265" s="394" t="str">
        <f>IF(ISERROR(Data!F37/Data!E37-1),"",Data!F37/Data!E37-1)</f>
        <v/>
      </c>
      <c r="F265" s="394" t="str">
        <f>IF(ISERROR(Data!G37/Data!F37-1),"",Data!G37/Data!F37-1)</f>
        <v/>
      </c>
      <c r="G265" s="394" t="str">
        <f>IF(ISERROR((Data!G37/Data!B37)^(1/5)-1),"",(Data!G37/Data!B37)^(1/5)-1)</f>
        <v/>
      </c>
    </row>
    <row r="266" spans="1:7" ht="12.75" customHeight="1" x14ac:dyDescent="0.15">
      <c r="A266" s="400" t="str">
        <f>Data!A38</f>
        <v>Current maturities of long-term debt</v>
      </c>
      <c r="B266" s="394" t="str">
        <f>IF(ISERROR(Data!C38/Data!B38-1),"",Data!C38/Data!B38-1)</f>
        <v/>
      </c>
      <c r="C266" s="394" t="str">
        <f>IF(ISERROR(Data!D38/Data!C38-1),"",Data!D38/Data!C38-1)</f>
        <v/>
      </c>
      <c r="D266" s="394" t="str">
        <f>IF(ISERROR(Data!E38/Data!D38-1),"",Data!E38/Data!D38-1)</f>
        <v/>
      </c>
      <c r="E266" s="394" t="str">
        <f>IF(ISERROR(Data!F38/Data!E38-1),"",Data!F38/Data!E38-1)</f>
        <v/>
      </c>
      <c r="F266" s="394" t="str">
        <f>IF(ISERROR(Data!G38/Data!F38-1),"",Data!G38/Data!F38-1)</f>
        <v/>
      </c>
      <c r="G266" s="394" t="str">
        <f>IF(ISERROR((Data!G38/Data!B38)^(1/5)-1),"",(Data!G38/Data!B38)^(1/5)-1)</f>
        <v/>
      </c>
    </row>
    <row r="267" spans="1:7" ht="12.75" customHeight="1" x14ac:dyDescent="0.15">
      <c r="A267" s="400" t="str">
        <f>Data!A39</f>
        <v>Notes payable and short-term debt + Current maturities of long-term debt</v>
      </c>
      <c r="B267" s="394">
        <f>IF(ISERROR(Data!C39/Data!B39-1),"",Data!C39/Data!B39-1)</f>
        <v>1.8069424631478759E-2</v>
      </c>
      <c r="C267" s="394">
        <f>IF(ISERROR(Data!D39/Data!C39-1),"",Data!D39/Data!C39-1)</f>
        <v>4.3939747781410556</v>
      </c>
      <c r="D267" s="394">
        <f>IF(ISERROR(Data!E39/Data!D39-1),"",Data!E39/Data!D39-1)</f>
        <v>-0.78075074685024026</v>
      </c>
      <c r="E267" s="394">
        <f>IF(ISERROR(Data!F39/Data!E39-1),"",Data!F39/Data!E39-1)</f>
        <v>1.0650671406003163</v>
      </c>
      <c r="F267" s="394">
        <f>IF(ISERROR(Data!G39/Data!F39-1),"",Data!G39/Data!F39-1)</f>
        <v>-0.33966053071957925</v>
      </c>
      <c r="G267" s="394">
        <f>IF(ISERROR((Data!G39/Data!B39)^(1/5)-1),"",(Data!G39/Data!B39)^(1/5)-1)</f>
        <v>0.10424431550852264</v>
      </c>
    </row>
    <row r="268" spans="1:7" ht="12.75" customHeight="1" x14ac:dyDescent="0.15">
      <c r="A268" s="400" t="str">
        <f>Data!A40</f>
        <v>Operating lease obligations due within one year</v>
      </c>
      <c r="B268" s="394">
        <f>IF(ISERROR(Data!C41/Data!B41-1),"",Data!C41/Data!B41-1)</f>
        <v>9.0916829828892487E-2</v>
      </c>
      <c r="C268" s="394">
        <f>IF(ISERROR(Data!D41/Data!C41-1),"",Data!D41/Data!C41-1)</f>
        <v>4.3698790479904659E-3</v>
      </c>
      <c r="D268" s="394">
        <f>IF(ISERROR(Data!E41/Data!D41-1),"",Data!E41/Data!D41-1)</f>
        <v>-6.3320643306658431E-2</v>
      </c>
      <c r="E268" s="394">
        <f>IF(ISERROR(Data!F40/Data!E41-1),"",Data!F40/Data!E41-1)</f>
        <v>-0.61861313868613133</v>
      </c>
      <c r="F268" s="394">
        <f>IF(ISERROR(Data!G40/Data!F40-1),"",Data!G40/Data!F40-1)</f>
        <v>1.9138755980861344E-2</v>
      </c>
      <c r="G268" s="394">
        <f>IF(ISERROR((Data!G40/Data!B41)^(1/5)-1),"",(Data!G40/Data!B41)^(1/5)-1)</f>
        <v>-0.16790087925919917</v>
      </c>
    </row>
    <row r="269" spans="1:7" ht="12.75" customHeight="1" x14ac:dyDescent="0.15">
      <c r="A269" s="400" t="str">
        <f>Data!A41</f>
        <v>Provisions for liabilities and charges</v>
      </c>
      <c r="B269" s="394" t="str">
        <f>IF(ISERROR(Data!#REF!/Data!#REF!-1),"",Data!#REF!/Data!#REF!-1)</f>
        <v/>
      </c>
      <c r="C269" s="394" t="str">
        <f>IF(ISERROR(Data!#REF!/Data!#REF!-1),"",Data!#REF!/Data!#REF!-1)</f>
        <v/>
      </c>
      <c r="D269" s="394" t="str">
        <f>IF(ISERROR(Data!#REF!/Data!#REF!-1),"",Data!#REF!/Data!#REF!-1)</f>
        <v/>
      </c>
      <c r="E269" s="394" t="str">
        <f>IF(ISERROR(Data!F41/Data!#REF!-1),"",Data!F41/Data!#REF!-1)</f>
        <v/>
      </c>
      <c r="F269" s="394">
        <f>IF(ISERROR(Data!G41/Data!F41-1),"",Data!G41/Data!F41-1)</f>
        <v>0.11860417519443289</v>
      </c>
      <c r="G269" s="394" t="str">
        <f>IF(ISERROR((Data!G41/Data!#REF!)^(1/5)-1),"",(Data!G41/Data!#REF!)^(1/5)-1)</f>
        <v/>
      </c>
    </row>
    <row r="270" spans="1:7" ht="12.75" customHeight="1" x14ac:dyDescent="0.15">
      <c r="A270" s="400" t="str">
        <f>Data!A42</f>
        <v>Income taxes payable</v>
      </c>
      <c r="B270" s="394">
        <f>IF(ISERROR(Data!C42/Data!B42-1),"",Data!C42/Data!B42-1)</f>
        <v>-0.35752688172043012</v>
      </c>
      <c r="C270" s="394">
        <f>IF(ISERROR(Data!D42/Data!C42-1),"",Data!D42/Data!C42-1)</f>
        <v>0.25011622501162245</v>
      </c>
      <c r="D270" s="394">
        <f>IF(ISERROR(Data!E42/Data!D42-1),"",Data!E42/Data!D42-1)</f>
        <v>-1.74786165860914E-2</v>
      </c>
      <c r="E270" s="394">
        <f>IF(ISERROR(Data!F42/Data!E42-1),"",Data!F42/Data!E42-1)</f>
        <v>-0.21233913701741103</v>
      </c>
      <c r="F270" s="394">
        <f>IF(ISERROR(Data!G42/Data!F42-1),"",Data!G42/Data!F42-1)</f>
        <v>0.32196059586737169</v>
      </c>
      <c r="G270" s="394">
        <f>IF(ISERROR((Data!G42/Data!B42)^(1/5)-1),"",(Data!G42/Data!B42)^(1/5)-1)</f>
        <v>-3.8518287732666301E-2</v>
      </c>
    </row>
    <row r="271" spans="1:7" ht="12.75" customHeight="1" x14ac:dyDescent="0.15">
      <c r="A271" s="400" t="str">
        <f>Data!A43</f>
        <v>Other current liabilities (1)</v>
      </c>
      <c r="B271" s="394">
        <f>IF(ISERROR(Data!C43/Data!B43-1),"",Data!C43/Data!B43-1)</f>
        <v>4.9593843522873104E-2</v>
      </c>
      <c r="C271" s="394">
        <f>IF(ISERROR(Data!D43/Data!C43-1),"",Data!D43/Data!C43-1)</f>
        <v>8.1004752206381481E-2</v>
      </c>
      <c r="D271" s="394">
        <f>IF(ISERROR(Data!E43/Data!D43-1),"",Data!E43/Data!D43-1)</f>
        <v>0.12655747588424449</v>
      </c>
      <c r="E271" s="394">
        <f>IF(ISERROR(Data!F43/Data!E43-1),"",Data!F43/Data!E43-1)</f>
        <v>7.3919636087945495E-2</v>
      </c>
      <c r="F271" s="394">
        <f>IF(ISERROR(Data!G43/Data!F43-1),"",Data!G43/Data!F43-1)</f>
        <v>2.7719524096260439E-2</v>
      </c>
      <c r="G271" s="394">
        <f>IF(ISERROR((Data!G43/Data!B43)^(1/5)-1),"",(Data!G43/Data!B43)^(1/5)-1)</f>
        <v>7.1247260790507916E-2</v>
      </c>
    </row>
    <row r="272" spans="1:7" ht="12.75" customHeight="1" x14ac:dyDescent="0.15">
      <c r="A272" s="260" t="str">
        <f>Data!A44</f>
        <v xml:space="preserve">  Current Liabilities</v>
      </c>
      <c r="B272" s="263">
        <f>IF(ISERROR(Data!C44/Data!B44-1),"",Data!C44/Data!B44-1)</f>
        <v>2.3925678458651678E-2</v>
      </c>
      <c r="C272" s="263">
        <f>IF(ISERROR(Data!D44/Data!C44-1),"",Data!D44/Data!C44-1)</f>
        <v>0.48808874665903867</v>
      </c>
      <c r="D272" s="263">
        <f>IF(ISERROR(Data!E44/Data!D44-1),"",Data!E44/Data!D44-1)</f>
        <v>-0.1758444413741731</v>
      </c>
      <c r="E272" s="263">
        <f>IF(ISERROR(Data!F44/Data!E44-1),"",Data!F44/Data!E44-1)</f>
        <v>8.5999795915392419E-2</v>
      </c>
      <c r="F272" s="263">
        <f>IF(ISERROR(Data!G44/Data!F44-1),"",Data!G44/Data!F44-1)</f>
        <v>-1.7698342919655996E-2</v>
      </c>
      <c r="G272" s="263">
        <f>IF(ISERROR((Data!G44/Data!B44)^(1/5)-1),"",(Data!G44/Data!B44)^(1/5)-1)</f>
        <v>6.0220545342938303E-2</v>
      </c>
    </row>
    <row r="273" spans="1:7" ht="12.75" customHeight="1" x14ac:dyDescent="0.15">
      <c r="A273" s="349" t="str">
        <f>Data!A45</f>
        <v>Long-term debt obligations</v>
      </c>
      <c r="B273" s="394">
        <f>IF(ISERROR(Data!C45/Data!B45-1),"",Data!C45/Data!B45-1)</f>
        <v>-0.11458333333333326</v>
      </c>
      <c r="C273" s="394">
        <f>IF(ISERROR(Data!D45/Data!C45-1),"",Data!D45/Data!C45-1)</f>
        <v>0.25882352941176467</v>
      </c>
      <c r="D273" s="394">
        <f>IF(ISERROR(Data!E45/Data!D45-1),"",Data!E45/Data!D45-1)</f>
        <v>281.01869158878503</v>
      </c>
      <c r="E273" s="394">
        <f>IF(ISERROR(Data!F45/Data!E45-1),"",Data!F45/Data!E45-1)</f>
        <v>0.57300503711558859</v>
      </c>
      <c r="F273" s="394">
        <f>IF(ISERROR(Data!G45/Data!F45-1),"",Data!G45/Data!F45-1)</f>
        <v>9.2780247329723897E-2</v>
      </c>
      <c r="G273" s="394">
        <f>IF(ISERROR((Data!G45/Data!B45)^(1/5)-1),"",(Data!G45/Data!B45)^(1/5)-1)</f>
        <v>2.5199028539928654</v>
      </c>
    </row>
    <row r="274" spans="1:7" ht="12.75" customHeight="1" x14ac:dyDescent="0.15">
      <c r="A274" s="349" t="str">
        <f>Data!A46</f>
        <v>Long-term operating lease obligations</v>
      </c>
      <c r="B274" s="394">
        <f>IF(ISERROR(Data!C46/Data!B46-1),"",Data!C46/Data!B46-1)</f>
        <v>-0.20472972972972969</v>
      </c>
      <c r="C274" s="394">
        <f>IF(ISERROR(Data!D46/Data!C46-1),"",Data!D46/Data!C46-1)</f>
        <v>-3.6456321927859747E-2</v>
      </c>
      <c r="D274" s="394">
        <f>IF(ISERROR(Data!E46/Data!D46-1),"",Data!E46/Data!D46-1)</f>
        <v>-2.7254509018036055E-2</v>
      </c>
      <c r="E274" s="394">
        <f>IF(ISERROR(Data!F46/Data!E46-1),"",Data!F46/Data!E46-1)</f>
        <v>0.14890811701689333</v>
      </c>
      <c r="F274" s="394">
        <f>IF(ISERROR(Data!G46/Data!F46-1),"",Data!G46/Data!F46-1)</f>
        <v>4.5761009898149352E-2</v>
      </c>
      <c r="G274" s="394">
        <f>IF(ISERROR((Data!G46/Data!B46)^(1/5)-1),"",(Data!G46/Data!B46)^(1/5)-1)</f>
        <v>-2.1815842722504808E-2</v>
      </c>
    </row>
    <row r="275" spans="1:7" ht="12.75" customHeight="1" x14ac:dyDescent="0.15">
      <c r="A275" s="349" t="str">
        <f>Data!A47</f>
        <v xml:space="preserve">Other noncurrent liabilities (2) provisions for employees &amp; liabilities </v>
      </c>
      <c r="B275" s="394">
        <f>IF(ISERROR(Data!C47/Data!B47-1),"",Data!C47/Data!B47-1)</f>
        <v>0.31129512226678746</v>
      </c>
      <c r="C275" s="394">
        <f>IF(ISERROR(Data!D47/Data!C47-1),"",Data!D47/Data!C47-1)</f>
        <v>-0.64420325604341389</v>
      </c>
      <c r="D275" s="394">
        <f>IF(ISERROR(Data!E47/Data!D47-1),"",Data!E47/Data!D47-1)</f>
        <v>0.45757071547420969</v>
      </c>
      <c r="E275" s="394">
        <f>IF(ISERROR(Data!F47/Data!E47-1),"",Data!F47/Data!E47-1)</f>
        <v>0.20015220700152203</v>
      </c>
      <c r="F275" s="394">
        <f>IF(ISERROR(Data!G47/Data!F47-1),"",Data!G47/Data!F47-1)</f>
        <v>0.18214965123652527</v>
      </c>
      <c r="G275" s="394">
        <f>IF(ISERROR((Data!G47/Data!B47)^(1/5)-1),"",(Data!G47/Data!B47)^(1/5)-1)</f>
        <v>-7.1396506400105419E-3</v>
      </c>
    </row>
    <row r="276" spans="1:7" ht="12.75" customHeight="1" x14ac:dyDescent="0.15">
      <c r="A276" s="349" t="str">
        <f>Data!A48</f>
        <v>Deferred tax liabilities- noncurrent</v>
      </c>
      <c r="B276" s="394">
        <f>IF(ISERROR(Data!C48/Data!B48-1),"",Data!C48/Data!B48-1)</f>
        <v>-4.2158058831503364E-2</v>
      </c>
      <c r="C276" s="394">
        <f>IF(ISERROR(Data!D48/Data!C48-1),"",Data!D48/Data!C48-1)</f>
        <v>0.14675912821964321</v>
      </c>
      <c r="D276" s="394">
        <f>IF(ISERROR(Data!E48/Data!D48-1),"",Data!E48/Data!D48-1)</f>
        <v>0.11761076144637794</v>
      </c>
      <c r="E276" s="394">
        <f>IF(ISERROR(Data!F48/Data!E48-1),"",Data!F48/Data!E48-1)</f>
        <v>-6.5150176678445249E-2</v>
      </c>
      <c r="F276" s="394">
        <f>IF(ISERROR(Data!G48/Data!F48-1),"",Data!G48/Data!F48-1)</f>
        <v>0.13926293408929835</v>
      </c>
      <c r="G276" s="394">
        <f>IF(ISERROR((Data!G48/Data!B48)^(1/5)-1),"",(Data!G48/Data!B48)^(1/5)-1)</f>
        <v>5.5077811190373582E-2</v>
      </c>
    </row>
    <row r="277" spans="1:7" ht="12.75" customHeight="1" x14ac:dyDescent="0.15">
      <c r="A277" s="349" t="str">
        <f>Data!A49</f>
        <v>Other noncurrent liabilities (1) - non current tax</v>
      </c>
      <c r="B277" s="394">
        <f>IF(ISERROR(Data!C49/Data!B49-1),"",Data!C49/Data!B49-1)</f>
        <v>0.28272082527401676</v>
      </c>
      <c r="C277" s="394">
        <f>IF(ISERROR(Data!D49/Data!C49-1),"",Data!D49/Data!C49-1)</f>
        <v>-0.13345061573259609</v>
      </c>
      <c r="D277" s="394">
        <f>IF(ISERROR(Data!E49/Data!D49-1),"",Data!E49/Data!D49-1)</f>
        <v>-0.2006960556844547</v>
      </c>
      <c r="E277" s="394">
        <f>IF(ISERROR(Data!F49/Data!E49-1),"",Data!F49/Data!E49-1)</f>
        <v>-7.2206095791001568E-2</v>
      </c>
      <c r="F277" s="394">
        <f>IF(ISERROR(Data!G49/Data!F49-1),"",Data!G49/Data!F49-1)</f>
        <v>-0.12280015643332021</v>
      </c>
      <c r="G277" s="394">
        <f>IF(ISERROR((Data!G49/Data!B49)^(1/5)-1),"",(Data!G49/Data!B49)^(1/5)-1)</f>
        <v>-6.2788743686891024E-2</v>
      </c>
    </row>
    <row r="278" spans="1:7" ht="12.75" customHeight="1" x14ac:dyDescent="0.15">
      <c r="A278" s="260" t="str">
        <f>Data!A50</f>
        <v xml:space="preserve">  Total Liabilities</v>
      </c>
      <c r="B278" s="263">
        <f>IF(ISERROR(Data!C50/Data!B50-1),"",Data!C50/Data!B50-1)</f>
        <v>1.5586871432643257E-2</v>
      </c>
      <c r="C278" s="263">
        <f>IF(ISERROR(Data!D50/Data!C50-1),"",Data!D50/Data!C50-1)</f>
        <v>0.32946789794702913</v>
      </c>
      <c r="D278" s="263">
        <f>IF(ISERROR(Data!E50/Data!D50-1),"",Data!E50/Data!D50-1)</f>
        <v>1.2187837907419841E-2</v>
      </c>
      <c r="E278" s="263">
        <f>IF(ISERROR(Data!F50/Data!E50-1),"",Data!F50/Data!E50-1)</f>
        <v>0.15851294912426206</v>
      </c>
      <c r="F278" s="263">
        <f>IF(ISERROR(Data!G50/Data!F50-1),"",Data!G50/Data!F50-1)</f>
        <v>1.9403961587269647E-2</v>
      </c>
      <c r="G278" s="263">
        <f>IF(ISERROR((Data!G50/Data!B50)^(1/5)-1),"",(Data!G50/Data!B50)^(1/5)-1)</f>
        <v>0.10047619226911952</v>
      </c>
    </row>
    <row r="279" spans="1:7" ht="12.75" customHeight="1" x14ac:dyDescent="0.15">
      <c r="A279" s="48"/>
      <c r="B279" s="61"/>
      <c r="C279" s="61"/>
      <c r="D279" s="61"/>
      <c r="E279" s="61"/>
      <c r="F279" s="61"/>
      <c r="G279" s="61"/>
    </row>
    <row r="280" spans="1:7" ht="12.75" customHeight="1" x14ac:dyDescent="0.15">
      <c r="A280" s="349" t="str">
        <f>Data!A52</f>
        <v>&lt;Treasury stock&gt; and other equity adjustments - other reserves</v>
      </c>
      <c r="B280" s="394" t="str">
        <f>IF(ISERROR(Data!C52/Data!B52-1),"",Data!C52/Data!B52-1)</f>
        <v/>
      </c>
      <c r="C280" s="394" t="str">
        <f>IF(ISERROR(Data!D52/Data!C52-1),"",Data!D52/Data!C52-1)</f>
        <v/>
      </c>
      <c r="D280" s="394">
        <f>IF(ISERROR(Data!E52/Data!D52-1),"",Data!E52/Data!D52-1)</f>
        <v>-1</v>
      </c>
      <c r="E280" s="394" t="str">
        <f>IF(ISERROR(Data!F52/Data!E52-1),"",Data!F52/Data!E52-1)</f>
        <v/>
      </c>
      <c r="F280" s="394" t="str">
        <f>IF(ISERROR(Data!G52/Data!F52-1),"",Data!G52/Data!F52-1)</f>
        <v/>
      </c>
      <c r="G280" s="394" t="str">
        <f>IF(ISERROR((Data!G52/Data!B52)^(1/5)-1),"",(Data!G52/Data!B52)^(1/5)-1)</f>
        <v/>
      </c>
    </row>
    <row r="281" spans="1:7" ht="12.75" customHeight="1" x14ac:dyDescent="0.15">
      <c r="A281" s="349" t="str">
        <f>Data!A53</f>
        <v>Common stock + Capital in excess of par value</v>
      </c>
      <c r="B281" s="394">
        <f>IF(ISERROR(Data!C53/Data!B53-1),"",Data!C53/Data!B53-1)</f>
        <v>4.0101178357702549E-2</v>
      </c>
      <c r="C281" s="394">
        <f>IF(ISERROR(Data!D53/Data!C53-1),"",Data!D53/Data!C53-1)</f>
        <v>1.571860727207941E-3</v>
      </c>
      <c r="D281" s="394">
        <f>IF(ISERROR(Data!E53/Data!D53-1),"",Data!E53/Data!D53-1)</f>
        <v>2.9196648011607484E-2</v>
      </c>
      <c r="E281" s="394">
        <f>IF(ISERROR(Data!F53/Data!E53-1),"",Data!F53/Data!E53-1)</f>
        <v>4.0279655896657829E-4</v>
      </c>
      <c r="F281" s="394">
        <f>IF(ISERROR(Data!G53/Data!F53-1),"",Data!G53/Data!F53-1)</f>
        <v>2.1310862500359518E-2</v>
      </c>
      <c r="G281" s="394">
        <f>IF(ISERROR((Data!G53/Data!B53)^(1/5)-1),"",(Data!G53/Data!B53)^(1/5)-1)</f>
        <v>1.8398574676149915E-2</v>
      </c>
    </row>
    <row r="282" spans="1:7" ht="12.75" customHeight="1" x14ac:dyDescent="0.15">
      <c r="A282" s="400" t="str">
        <f>Data!A54</f>
        <v xml:space="preserve">Retained earnings </v>
      </c>
      <c r="B282" s="394">
        <f>IF(ISERROR(Data!C54/Data!B54-1),"",Data!C54/Data!B54-1)</f>
        <v>-4.9760000000000026E-2</v>
      </c>
      <c r="C282" s="394">
        <f>IF(ISERROR(Data!D54/Data!C54-1),"",Data!D54/Data!C54-1)</f>
        <v>0.29008811808946522</v>
      </c>
      <c r="D282" s="394">
        <f>IF(ISERROR(Data!E54/Data!D54-1),"",Data!E54/Data!D54-1)</f>
        <v>0.24134780622566399</v>
      </c>
      <c r="E282" s="394">
        <f>IF(ISERROR(Data!F54/Data!E54-1),"",Data!F54/Data!E54-1)</f>
        <v>8.365751936354382E-2</v>
      </c>
      <c r="F282" s="394">
        <f>IF(ISERROR(Data!G54/Data!F54-1),"",Data!G54/Data!F54-1)</f>
        <v>3.6335705045278166E-2</v>
      </c>
      <c r="G282" s="394">
        <f>IF(ISERROR((Data!G54/Data!B54)^(1/5)-1),"",(Data!G54/Data!B54)^(1/5)-1)</f>
        <v>0.11313473475718028</v>
      </c>
    </row>
    <row r="283" spans="1:7" ht="12.75" customHeight="1" x14ac:dyDescent="0.15">
      <c r="A283" s="349" t="str">
        <f>Data!A55</f>
        <v>Accumulated other comprehensive income</v>
      </c>
      <c r="B283" s="394">
        <f>IF(ISERROR(Data!C55/Data!B55-1),"",Data!C55/Data!B55-1)</f>
        <v>-0.37865225775934219</v>
      </c>
      <c r="C283" s="394">
        <f>IF(ISERROR(Data!D55/Data!C55-1),"",Data!D55/Data!C55-1)</f>
        <v>0.68026234884197589</v>
      </c>
      <c r="D283" s="394">
        <f>IF(ISERROR(Data!E55/Data!D55-1),"",Data!E55/Data!D55-1)</f>
        <v>0.10141846443383384</v>
      </c>
      <c r="E283" s="394">
        <f>IF(ISERROR(Data!F55/Data!E55-1),"",Data!F55/Data!E55-1)</f>
        <v>-0.11176154162579499</v>
      </c>
      <c r="F283" s="394">
        <f>IF(ISERROR(Data!G55/Data!F55-1),"",Data!G55/Data!F55-1)</f>
        <v>0.25193259947989044</v>
      </c>
      <c r="G283" s="394">
        <f>IF(ISERROR((Data!G55/Data!B55)^(1/5)-1),"",(Data!G55/Data!B55)^(1/5)-1)</f>
        <v>5.0400546245118027E-2</v>
      </c>
    </row>
    <row r="284" spans="1:7" ht="12.75" customHeight="1" x14ac:dyDescent="0.15">
      <c r="A284" s="349" t="str">
        <f>Data!A56</f>
        <v>Other reserves</v>
      </c>
      <c r="B284" s="394">
        <f>IF(ISERROR(Data!C56/Data!B56-1),"",Data!C56/Data!B56-1)</f>
        <v>0.10109326733959789</v>
      </c>
      <c r="C284" s="394">
        <f>IF(ISERROR(Data!D56/Data!C56-1),"",Data!D56/Data!C56-1)</f>
        <v>9.1511331634706039E-3</v>
      </c>
      <c r="D284" s="394">
        <f>IF(ISERROR(Data!E56/Data!D56-1),"",Data!E56/Data!D56-1)</f>
        <v>-0.37938989321270822</v>
      </c>
      <c r="E284" s="394">
        <f>IF(ISERROR(Data!F56/Data!E56-1),"",Data!F56/Data!E56-1)</f>
        <v>0.18187502141217582</v>
      </c>
      <c r="F284" s="394">
        <f>IF(ISERROR(Data!G56/Data!F56-1),"",Data!G56/Data!F56-1)</f>
        <v>0.16998934713133451</v>
      </c>
      <c r="G284" s="394">
        <f>IF(ISERROR((Data!G56/Data!B56)^(1/5)-1),"",(Data!G56/Data!B56)^(1/5)-1)</f>
        <v>-9.4634051406359276E-3</v>
      </c>
    </row>
    <row r="285" spans="1:7" ht="12.75" customHeight="1" x14ac:dyDescent="0.15">
      <c r="A285" s="260" t="str">
        <f>Data!A57</f>
        <v xml:space="preserve"> Total Common Shareholders' Equity</v>
      </c>
      <c r="B285" s="263">
        <f>IF(ISERROR(Data!C57/Data!B57-1),"",Data!C57/Data!B57-1)</f>
        <v>-1.4490487537093144E-2</v>
      </c>
      <c r="C285" s="263">
        <f>IF(ISERROR(Data!D57/Data!C57-1),"",Data!D57/Data!C57-1)</f>
        <v>0.12185355085710348</v>
      </c>
      <c r="D285" s="263">
        <f>IF(ISERROR(Data!E57/Data!D57-1),"",Data!E57/Data!D57-1)</f>
        <v>-0.16440436698139027</v>
      </c>
      <c r="E285" s="263">
        <f>IF(ISERROR(Data!F57/Data!E57-1),"",Data!F57/Data!E57-1)</f>
        <v>6.975734496017072E-2</v>
      </c>
      <c r="F285" s="263">
        <f>IF(ISERROR(Data!G57/Data!F57-1),"",Data!G57/Data!F57-1)</f>
        <v>0.1396039127204689</v>
      </c>
      <c r="G285" s="263">
        <f>IF(ISERROR((Data!G57/Data!B57)^(1/5)-1),"",(Data!G57/Data!B57)^(1/5)-1)</f>
        <v>2.4062520040975421E-2</v>
      </c>
    </row>
    <row r="286" spans="1:7" ht="12.75" customHeight="1" x14ac:dyDescent="0.15">
      <c r="A286" s="349" t="str">
        <f>Data!A58</f>
        <v>Noncontrolling interests</v>
      </c>
      <c r="B286" s="394">
        <f>IF(ISERROR(Data!C58/Data!B58-1),"",Data!C58/Data!B58-1)</f>
        <v>-0.13432835820895528</v>
      </c>
      <c r="C286" s="394">
        <f>IF(ISERROR(Data!D58/Data!C58-1),"",Data!D58/Data!C58-1)</f>
        <v>0.18965517241379315</v>
      </c>
      <c r="D286" s="394">
        <f>IF(ISERROR(Data!E58/Data!D58-1),"",Data!E58/Data!D58-1)</f>
        <v>0.15942028985507251</v>
      </c>
      <c r="E286" s="394">
        <f>IF(ISERROR(Data!F58/Data!E58-1),"",Data!F58/Data!E58-1)</f>
        <v>-8.7500000000000022E-2</v>
      </c>
      <c r="F286" s="394">
        <f>IF(ISERROR(Data!G58/Data!F58-1),"",Data!G58/Data!F58-1)</f>
        <v>-0.38356164383561642</v>
      </c>
      <c r="G286" s="394">
        <f>IF(ISERROR((Data!G58/Data!B58)^(1/5)-1),"",(Data!G58/Data!B58)^(1/5)-1)</f>
        <v>-7.6519898053450164E-2</v>
      </c>
    </row>
    <row r="287" spans="1:7" ht="12.75" customHeight="1" x14ac:dyDescent="0.15">
      <c r="A287" s="260" t="str">
        <f>Data!A59</f>
        <v xml:space="preserve">  Total Equity</v>
      </c>
      <c r="B287" s="263">
        <f>IF(ISERROR(Data!C59/Data!B59-1),"",Data!C59/Data!B59-1)</f>
        <v>-1.4517773397675682E-2</v>
      </c>
      <c r="C287" s="263">
        <f>IF(ISERROR(Data!D59/Data!C59-1),"",Data!D59/Data!C59-1)</f>
        <v>-0.18642840393395577</v>
      </c>
      <c r="D287" s="263">
        <f>IF(ISERROR(Data!E59/Data!D59-1),"",Data!E59/Data!D59-1)</f>
        <v>0.15233166331815906</v>
      </c>
      <c r="E287" s="263">
        <f>IF(ISERROR(Data!F59/Data!E59-1),"",Data!F59/Data!E59-1)</f>
        <v>6.9711069832453676E-2</v>
      </c>
      <c r="F287" s="263">
        <f>IF(ISERROR(Data!G59/Data!F59-1),"",Data!G59/Data!F59-1)</f>
        <v>0.1394725892915476</v>
      </c>
      <c r="G287" s="263">
        <f>IF(ISERROR((Data!G59/Data!B59)^(1/5)-1),"",(Data!G59/Data!B59)^(1/5)-1)</f>
        <v>2.4043695913242624E-2</v>
      </c>
    </row>
    <row r="288" spans="1:7" ht="12.75" customHeight="1" x14ac:dyDescent="0.15">
      <c r="A288" s="260" t="str">
        <f>Data!A60</f>
        <v xml:space="preserve">  Total Liabilities and Equities</v>
      </c>
      <c r="B288" s="262">
        <f>IF(ISERROR(Data!C60/Data!B60-1),"",Data!C60/Data!B60-1)</f>
        <v>-4.6336558631726588E-3</v>
      </c>
      <c r="C288" s="262">
        <f>IF(ISERROR(Data!D60/Data!C60-1),"",Data!D60/Data!C60-1)</f>
        <v>-1.3605644978203046E-2</v>
      </c>
      <c r="D288" s="262">
        <f>IF(ISERROR(Data!E60/Data!D60-1),"",Data!E60/Data!D60-1)</f>
        <v>8.9055554522290636E-2</v>
      </c>
      <c r="E288" s="262">
        <f>IF(ISERROR(Data!F60/Data!E60-1),"",Data!F60/Data!E60-1)</f>
        <v>0.10697589029164778</v>
      </c>
      <c r="F288" s="262">
        <f>IF(ISERROR(Data!G60/Data!F60-1),"",Data!G60/Data!F60-1)</f>
        <v>8.6741207280244925E-2</v>
      </c>
      <c r="G288" s="262">
        <f>IF(ISERROR((Data!G60/Data!B60)^(1/5)-1),"",(Data!G60/Data!B60)^(1/5)-1)</f>
        <v>5.164599530546532E-2</v>
      </c>
    </row>
    <row r="289" spans="1:10" ht="12.75" customHeight="1" x14ac:dyDescent="0.15">
      <c r="A289" s="37"/>
      <c r="B289" s="299"/>
      <c r="C289" s="299"/>
      <c r="D289" s="299"/>
      <c r="E289" s="299"/>
      <c r="F289" s="299"/>
      <c r="G289" s="401"/>
      <c r="H289" s="301"/>
      <c r="I289" s="301"/>
      <c r="J289" s="301"/>
    </row>
    <row r="290" spans="1:10" ht="12.75" customHeight="1" thickBot="1" x14ac:dyDescent="0.2">
      <c r="A290" s="299"/>
      <c r="B290" s="299"/>
      <c r="C290" s="299"/>
      <c r="D290" s="299"/>
      <c r="E290" s="299"/>
      <c r="F290" s="299"/>
      <c r="G290" s="299"/>
      <c r="H290" s="301"/>
      <c r="I290" s="301"/>
      <c r="J290" s="301"/>
    </row>
    <row r="291" spans="1:10" ht="12.75" customHeight="1" thickBot="1" x14ac:dyDescent="0.2">
      <c r="A291" s="49" t="s">
        <v>356</v>
      </c>
      <c r="B291" s="381"/>
      <c r="C291" s="381"/>
      <c r="D291" s="381"/>
      <c r="E291" s="381"/>
      <c r="F291" s="381"/>
      <c r="G291" s="381"/>
      <c r="H291" s="382"/>
      <c r="I291" s="301"/>
      <c r="J291" s="37" t="s">
        <v>357</v>
      </c>
    </row>
    <row r="292" spans="1:10" ht="12.75" customHeight="1" x14ac:dyDescent="0.15">
      <c r="A292" s="65"/>
      <c r="B292" s="299"/>
      <c r="C292" s="299"/>
      <c r="D292" s="299"/>
      <c r="E292" s="299"/>
      <c r="F292" s="299"/>
      <c r="G292" s="299"/>
      <c r="H292" s="402"/>
      <c r="I292" s="301"/>
      <c r="J292" s="301" t="s">
        <v>358</v>
      </c>
    </row>
    <row r="293" spans="1:10" ht="12.75" customHeight="1" x14ac:dyDescent="0.15">
      <c r="A293" s="66"/>
      <c r="B293" s="299"/>
      <c r="C293" s="299"/>
      <c r="D293" s="299"/>
      <c r="E293" s="299"/>
      <c r="F293" s="299"/>
      <c r="G293" s="299"/>
      <c r="H293" s="402"/>
      <c r="I293" s="301"/>
      <c r="J293" s="301"/>
    </row>
    <row r="294" spans="1:10" ht="12.75" customHeight="1" x14ac:dyDescent="0.15">
      <c r="A294" s="67" t="s">
        <v>359</v>
      </c>
      <c r="B294" s="301"/>
      <c r="C294" s="68"/>
      <c r="D294" s="68" t="s">
        <v>360</v>
      </c>
      <c r="E294" s="393"/>
      <c r="F294" s="301"/>
      <c r="G294" s="299"/>
      <c r="H294" s="402"/>
      <c r="I294" s="301"/>
      <c r="J294" s="301"/>
    </row>
    <row r="295" spans="1:10" ht="12.75" customHeight="1" x14ac:dyDescent="0.15">
      <c r="A295" s="403"/>
      <c r="B295" s="299"/>
      <c r="C295" s="69">
        <f>Data!$E$11</f>
        <v>2022</v>
      </c>
      <c r="D295" s="69">
        <f>Data!$F$11</f>
        <v>2023</v>
      </c>
      <c r="E295" s="69">
        <f>Data!$G$11</f>
        <v>2024</v>
      </c>
      <c r="F295" s="299"/>
      <c r="G295" s="299"/>
      <c r="H295" s="402"/>
      <c r="I295" s="301"/>
      <c r="J295" s="301"/>
    </row>
    <row r="296" spans="1:10" ht="12.75" customHeight="1" x14ac:dyDescent="0.15">
      <c r="A296" s="404"/>
      <c r="B296" s="299"/>
      <c r="C296" s="396">
        <f>IF(ISERROR(D31),"",D31)</f>
        <v>0.11831871200225243</v>
      </c>
      <c r="D296" s="396">
        <f>IF(ISERROR(E31),"",E31)</f>
        <v>0.11920712308558966</v>
      </c>
      <c r="E296" s="396">
        <f>IF(ISERROR(F31),"",F31)</f>
        <v>0.11523504644741077</v>
      </c>
      <c r="F296" s="299"/>
      <c r="G296" s="299"/>
      <c r="H296" s="402"/>
      <c r="I296" s="301"/>
      <c r="J296" s="301"/>
    </row>
    <row r="297" spans="1:10" ht="12.75" customHeight="1" x14ac:dyDescent="0.15">
      <c r="A297" s="403"/>
      <c r="B297" s="299"/>
      <c r="C297" s="299"/>
      <c r="D297" s="299"/>
      <c r="E297" s="299"/>
      <c r="F297" s="299"/>
      <c r="G297" s="299"/>
      <c r="H297" s="402"/>
      <c r="I297" s="301"/>
      <c r="J297" s="301"/>
    </row>
    <row r="298" spans="1:10" ht="12.75" customHeight="1" x14ac:dyDescent="0.15">
      <c r="A298" s="67" t="s">
        <v>361</v>
      </c>
      <c r="B298" s="68"/>
      <c r="C298" s="68" t="s">
        <v>362</v>
      </c>
      <c r="D298" s="68"/>
      <c r="E298" s="68"/>
      <c r="F298" s="68" t="s">
        <v>363</v>
      </c>
      <c r="G298" s="393"/>
      <c r="H298" s="402"/>
      <c r="I298" s="301"/>
      <c r="J298" s="301"/>
    </row>
    <row r="299" spans="1:10" ht="12.75" customHeight="1" x14ac:dyDescent="0.15">
      <c r="A299" s="404"/>
      <c r="B299" s="70">
        <f>C295</f>
        <v>2022</v>
      </c>
      <c r="C299" s="70">
        <f>D295</f>
        <v>2023</v>
      </c>
      <c r="D299" s="70">
        <f>E295</f>
        <v>2024</v>
      </c>
      <c r="E299" s="70">
        <f>C295</f>
        <v>2022</v>
      </c>
      <c r="F299" s="70">
        <f>D295</f>
        <v>2023</v>
      </c>
      <c r="G299" s="70">
        <f>E295</f>
        <v>2024</v>
      </c>
      <c r="H299" s="402"/>
      <c r="I299" s="301"/>
      <c r="J299" s="301"/>
    </row>
    <row r="300" spans="1:10" ht="12.75" customHeight="1" x14ac:dyDescent="0.15">
      <c r="A300" s="404"/>
      <c r="B300" s="396">
        <f>IF(ISERROR(D29),"",D29)</f>
        <v>0.1389392743448874</v>
      </c>
      <c r="C300" s="396">
        <f>IF(ISERROR(E29),"",E29)</f>
        <v>0.14284708310568803</v>
      </c>
      <c r="D300" s="396">
        <f>IF(ISERROR(F29),"",F29)</f>
        <v>0.14336994214336307</v>
      </c>
      <c r="E300" s="405">
        <f>IF(ISERROR(D30),"",D30)</f>
        <v>0.85158579213931418</v>
      </c>
      <c r="F300" s="405">
        <f>IF(ISERROR(E30),"",E30)</f>
        <v>0.83450862624469613</v>
      </c>
      <c r="G300" s="405">
        <f>IF(ISERROR(F30),"",F30)</f>
        <v>0.80376015170726123</v>
      </c>
      <c r="H300" s="402"/>
      <c r="I300" s="301"/>
      <c r="J300" s="301"/>
    </row>
    <row r="301" spans="1:10" ht="12.75" customHeight="1" x14ac:dyDescent="0.15">
      <c r="A301" s="404"/>
      <c r="B301" s="399"/>
      <c r="C301" s="399"/>
      <c r="D301" s="399"/>
      <c r="E301" s="399"/>
      <c r="F301" s="399"/>
      <c r="G301" s="399"/>
      <c r="H301" s="402"/>
      <c r="I301" s="301"/>
      <c r="J301" s="301"/>
    </row>
    <row r="302" spans="1:10" ht="12.75" customHeight="1" x14ac:dyDescent="0.15">
      <c r="A302" s="67" t="s">
        <v>364</v>
      </c>
      <c r="B302" s="70">
        <f t="shared" ref="B302:G302" si="0">B299</f>
        <v>2022</v>
      </c>
      <c r="C302" s="70">
        <f t="shared" si="0"/>
        <v>2023</v>
      </c>
      <c r="D302" s="70">
        <f t="shared" si="0"/>
        <v>2024</v>
      </c>
      <c r="E302" s="70">
        <f t="shared" si="0"/>
        <v>2022</v>
      </c>
      <c r="F302" s="70">
        <f t="shared" si="0"/>
        <v>2023</v>
      </c>
      <c r="G302" s="70">
        <f t="shared" si="0"/>
        <v>2024</v>
      </c>
      <c r="H302" s="71" t="s">
        <v>365</v>
      </c>
      <c r="I302" s="301"/>
      <c r="J302" s="301" t="s">
        <v>366</v>
      </c>
    </row>
    <row r="303" spans="1:10" ht="12.75" customHeight="1" x14ac:dyDescent="0.15">
      <c r="A303" s="72" t="str">
        <f>A124</f>
        <v>Net sales</v>
      </c>
      <c r="B303" s="406">
        <f t="shared" ref="B303:D306" si="1">IF(ISERROR(D124),"",D124)</f>
        <v>1</v>
      </c>
      <c r="C303" s="406">
        <f t="shared" si="1"/>
        <v>1</v>
      </c>
      <c r="D303" s="406">
        <f t="shared" si="1"/>
        <v>1</v>
      </c>
      <c r="E303" s="405">
        <f>IF(ISERROR(D83),"",D83)</f>
        <v>8.7188742665071501</v>
      </c>
      <c r="F303" s="405">
        <f>IF(ISERROR(E83),"",E83)</f>
        <v>8.3634572815336803</v>
      </c>
      <c r="G303" s="405">
        <f>IF(ISERROR(F83),"",F83)</f>
        <v>8.1325541166019928</v>
      </c>
      <c r="H303" s="71" t="s">
        <v>367</v>
      </c>
      <c r="I303" s="301"/>
      <c r="J303" s="301"/>
    </row>
    <row r="304" spans="1:10" ht="12.75" customHeight="1" x14ac:dyDescent="0.15">
      <c r="A304" s="72" t="str">
        <f>A125</f>
        <v>&lt;Cost of goods sold&gt;</v>
      </c>
      <c r="B304" s="406">
        <f t="shared" si="1"/>
        <v>-0.27645672049053072</v>
      </c>
      <c r="C304" s="406">
        <f t="shared" si="1"/>
        <v>-0.26144600254962669</v>
      </c>
      <c r="D304" s="406">
        <f t="shared" si="1"/>
        <v>-0.25817029535399244</v>
      </c>
      <c r="E304" s="405">
        <f>IF(ISERROR(D85),"",D85)</f>
        <v>2.91955450668654</v>
      </c>
      <c r="F304" s="405">
        <f>IF(ISERROR(E85),"",E85)</f>
        <v>2.5152428341159156</v>
      </c>
      <c r="G304" s="405">
        <f>IF(ISERROR(F85),"",F85)</f>
        <v>2.4640877914951989</v>
      </c>
      <c r="H304" s="71" t="s">
        <v>368</v>
      </c>
      <c r="I304" s="301"/>
      <c r="J304" s="301"/>
    </row>
    <row r="305" spans="1:8" ht="12.75" customHeight="1" x14ac:dyDescent="0.15">
      <c r="A305" s="72" t="str">
        <f>A126</f>
        <v xml:space="preserve">  Gross Profit</v>
      </c>
      <c r="B305" s="406">
        <f t="shared" si="1"/>
        <v>0.72354327950946917</v>
      </c>
      <c r="C305" s="406">
        <f t="shared" si="1"/>
        <v>0.73855399745037331</v>
      </c>
      <c r="D305" s="406">
        <f t="shared" si="1"/>
        <v>0.7418297046460075</v>
      </c>
      <c r="E305" s="405">
        <f>IF(ISERROR(D90),"",D90)</f>
        <v>11.340002074719543</v>
      </c>
      <c r="F305" s="405">
        <f>IF(ISERROR(E90),"",E90)</f>
        <v>11.207037309168095</v>
      </c>
      <c r="G305" s="405">
        <f>IF(ISERROR(F90),"",F90)</f>
        <v>10.777798431168446</v>
      </c>
      <c r="H305" s="71" t="s">
        <v>369</v>
      </c>
    </row>
    <row r="306" spans="1:8" ht="12.75" customHeight="1" x14ac:dyDescent="0.15">
      <c r="A306" s="72" t="str">
        <f>A127</f>
        <v>&lt;Operating, selling, general and administrative expenses&gt;</v>
      </c>
      <c r="B306" s="406">
        <f t="shared" si="1"/>
        <v>-0.18370856703763142</v>
      </c>
      <c r="C306" s="406">
        <f t="shared" si="1"/>
        <v>-0.18519273963455352</v>
      </c>
      <c r="D306" s="406">
        <f t="shared" si="1"/>
        <v>-0.1887630269415087</v>
      </c>
      <c r="E306" s="405"/>
      <c r="F306" s="405"/>
      <c r="G306" s="405"/>
      <c r="H306" s="71"/>
    </row>
    <row r="307" spans="1:8" ht="12.75" customHeight="1" x14ac:dyDescent="0.15">
      <c r="A307" s="72" t="str">
        <f>A135</f>
        <v xml:space="preserve">  Operating Profit</v>
      </c>
      <c r="B307" s="406">
        <f>IF(ISERROR(D135),"",D135)</f>
        <v>0.18858303319864297</v>
      </c>
      <c r="C307" s="406">
        <f>IF(ISERROR(E135),"",E135)</f>
        <v>0.18681235961877005</v>
      </c>
      <c r="D307" s="406">
        <f>IF(ISERROR(F135),"",F135)</f>
        <v>0.18970814132104455</v>
      </c>
      <c r="E307" s="405"/>
      <c r="F307" s="405"/>
      <c r="G307" s="405"/>
      <c r="H307" s="71"/>
    </row>
    <row r="308" spans="1:8" ht="12.75" customHeight="1" x14ac:dyDescent="0.15">
      <c r="A308" s="72" t="str">
        <f>A140</f>
        <v xml:space="preserve">  Income before Tax</v>
      </c>
      <c r="B308" s="406">
        <f t="shared" ref="B308:D309" si="2">IF(ISERROR(D140),"",D140)</f>
        <v>0.19891481053616514</v>
      </c>
      <c r="C308" s="406">
        <f t="shared" si="2"/>
        <v>0.19427912341407147</v>
      </c>
      <c r="D308" s="406">
        <f t="shared" si="2"/>
        <v>0.19391861438413496</v>
      </c>
      <c r="E308" s="405"/>
      <c r="F308" s="405"/>
      <c r="G308" s="405"/>
      <c r="H308" s="407"/>
    </row>
    <row r="309" spans="1:8" ht="12.75" customHeight="1" x14ac:dyDescent="0.15">
      <c r="A309" s="73" t="str">
        <f>A141</f>
        <v>&lt;Income tax expense&gt;</v>
      </c>
      <c r="B309" s="396">
        <f t="shared" si="2"/>
        <v>-4.9643758853755562E-2</v>
      </c>
      <c r="C309" s="396">
        <f t="shared" si="2"/>
        <v>-4.3965276513082012E-2</v>
      </c>
      <c r="D309" s="396">
        <f t="shared" si="2"/>
        <v>-4.6338199177681498E-2</v>
      </c>
      <c r="E309" s="399"/>
      <c r="F309" s="399"/>
      <c r="G309" s="399"/>
      <c r="H309" s="402"/>
    </row>
    <row r="310" spans="1:8" ht="12.75" customHeight="1" x14ac:dyDescent="0.15">
      <c r="A310" s="72" t="s">
        <v>370</v>
      </c>
      <c r="B310" s="406">
        <f>IF(ISERROR(D29),"",D29)</f>
        <v>0.1389392743448874</v>
      </c>
      <c r="C310" s="406">
        <f>IF(ISERROR(E29),"",E29)</f>
        <v>0.14284708310568803</v>
      </c>
      <c r="D310" s="406">
        <f>IF(ISERROR(F29),"",F29)</f>
        <v>0.14336994214336307</v>
      </c>
      <c r="E310" s="399"/>
      <c r="F310" s="399"/>
      <c r="G310" s="399"/>
      <c r="H310" s="402"/>
    </row>
    <row r="311" spans="1:8" ht="12.75" customHeight="1" x14ac:dyDescent="0.15">
      <c r="A311" s="74" t="s">
        <v>371</v>
      </c>
      <c r="B311" s="406"/>
      <c r="C311" s="406"/>
      <c r="D311" s="406"/>
      <c r="E311" s="399"/>
      <c r="F311" s="399"/>
      <c r="G311" s="399"/>
      <c r="H311" s="402"/>
    </row>
    <row r="312" spans="1:8" ht="12.75" customHeight="1" x14ac:dyDescent="0.15">
      <c r="A312" s="75"/>
      <c r="B312" s="406"/>
      <c r="C312" s="406"/>
      <c r="D312" s="406"/>
      <c r="E312" s="408"/>
      <c r="F312" s="409"/>
      <c r="G312" s="299"/>
      <c r="H312" s="402"/>
    </row>
    <row r="313" spans="1:8" ht="12.75" customHeight="1" thickBot="1" x14ac:dyDescent="0.2">
      <c r="A313" s="410"/>
      <c r="B313" s="299"/>
      <c r="C313" s="299"/>
      <c r="D313" s="299"/>
      <c r="E313" s="299"/>
      <c r="F313" s="299"/>
      <c r="G313" s="299"/>
      <c r="H313" s="402"/>
    </row>
    <row r="314" spans="1:8" ht="12.75" customHeight="1" thickBot="1" x14ac:dyDescent="0.2">
      <c r="A314" s="49" t="s">
        <v>372</v>
      </c>
      <c r="B314" s="381"/>
      <c r="C314" s="381"/>
      <c r="D314" s="381"/>
      <c r="E314" s="381"/>
      <c r="F314" s="381"/>
      <c r="G314" s="381"/>
      <c r="H314" s="382"/>
    </row>
    <row r="315" spans="1:8" ht="12.75" customHeight="1" x14ac:dyDescent="0.15">
      <c r="A315" s="410"/>
      <c r="B315" s="299"/>
      <c r="C315" s="299"/>
      <c r="D315" s="299"/>
      <c r="E315" s="299"/>
      <c r="F315" s="299"/>
      <c r="G315" s="299"/>
      <c r="H315" s="402"/>
    </row>
    <row r="316" spans="1:8" ht="12.75" customHeight="1" x14ac:dyDescent="0.15">
      <c r="A316" s="410"/>
      <c r="B316" s="365"/>
      <c r="C316" s="68" t="s">
        <v>373</v>
      </c>
      <c r="D316" s="365"/>
      <c r="E316" s="299"/>
      <c r="F316" s="301"/>
      <c r="G316" s="299"/>
      <c r="H316" s="402"/>
    </row>
    <row r="317" spans="1:8" ht="12.75" customHeight="1" x14ac:dyDescent="0.15">
      <c r="A317" s="410"/>
      <c r="B317" s="70">
        <f>C295</f>
        <v>2022</v>
      </c>
      <c r="C317" s="70">
        <f>D295</f>
        <v>2023</v>
      </c>
      <c r="D317" s="70">
        <f>E295</f>
        <v>2024</v>
      </c>
      <c r="E317" s="299"/>
      <c r="F317" s="299"/>
      <c r="G317" s="299"/>
      <c r="H317" s="402"/>
    </row>
    <row r="318" spans="1:8" ht="12.75" customHeight="1" x14ac:dyDescent="0.15">
      <c r="A318" s="410"/>
      <c r="B318" s="396">
        <f>IF(ISERROR(D43),"",D43)</f>
        <v>0.18917868699794316</v>
      </c>
      <c r="C318" s="396">
        <f>IF(ISERROR(E43),"",E43)</f>
        <v>0.21455604955477839</v>
      </c>
      <c r="D318" s="396">
        <f>IF(ISERROR(F43),"",F43)</f>
        <v>0.2017949546438785</v>
      </c>
      <c r="E318" s="299"/>
      <c r="F318" s="299"/>
      <c r="G318" s="299"/>
      <c r="H318" s="402"/>
    </row>
    <row r="319" spans="1:8" ht="12.75" customHeight="1" x14ac:dyDescent="0.15">
      <c r="A319" s="410"/>
      <c r="B319" s="399"/>
      <c r="C319" s="399"/>
      <c r="D319" s="399"/>
      <c r="E319" s="299"/>
      <c r="F319" s="299"/>
      <c r="G319" s="299"/>
      <c r="H319" s="402"/>
    </row>
    <row r="320" spans="1:8" ht="12.75" customHeight="1" x14ac:dyDescent="0.15">
      <c r="A320" s="410"/>
      <c r="B320" s="70">
        <f>B317</f>
        <v>2022</v>
      </c>
      <c r="C320" s="70">
        <f>C317</f>
        <v>2023</v>
      </c>
      <c r="D320" s="70">
        <f>D317</f>
        <v>2024</v>
      </c>
      <c r="E320" s="299"/>
      <c r="F320" s="299"/>
      <c r="G320" s="299"/>
      <c r="H320" s="402"/>
    </row>
    <row r="321" spans="1:14" ht="12.75" customHeight="1" x14ac:dyDescent="0.15">
      <c r="A321" s="67" t="s">
        <v>374</v>
      </c>
      <c r="B321" s="396">
        <f t="shared" ref="B321:D323" si="3">IF(ISERROR(D40),"",D40)</f>
        <v>0.14760353993403133</v>
      </c>
      <c r="C321" s="396">
        <f t="shared" si="3"/>
        <v>0.14653554300977351</v>
      </c>
      <c r="D321" s="396">
        <f t="shared" si="3"/>
        <v>0.14433345290984853</v>
      </c>
      <c r="E321" s="299"/>
      <c r="F321" s="299"/>
      <c r="G321" s="299"/>
      <c r="H321" s="402"/>
      <c r="I321" s="301"/>
      <c r="J321" s="301"/>
      <c r="K321" s="301"/>
      <c r="L321" s="301"/>
      <c r="M321" s="301"/>
      <c r="N321" s="301"/>
    </row>
    <row r="322" spans="1:14" ht="12.75" customHeight="1" x14ac:dyDescent="0.15">
      <c r="A322" s="67" t="s">
        <v>363</v>
      </c>
      <c r="B322" s="411">
        <f t="shared" si="3"/>
        <v>0.85158579213931418</v>
      </c>
      <c r="C322" s="411">
        <f t="shared" si="3"/>
        <v>0.83450862624469613</v>
      </c>
      <c r="D322" s="411">
        <f t="shared" si="3"/>
        <v>0.80376015170726123</v>
      </c>
      <c r="E322" s="299"/>
      <c r="F322" s="299"/>
      <c r="G322" s="299"/>
      <c r="H322" s="402"/>
      <c r="I322" s="301"/>
      <c r="J322" s="301"/>
      <c r="K322" s="301"/>
      <c r="L322" s="301"/>
      <c r="M322" s="301"/>
      <c r="N322" s="301"/>
    </row>
    <row r="323" spans="1:14" ht="12.75" customHeight="1" x14ac:dyDescent="0.15">
      <c r="A323" s="67" t="s">
        <v>375</v>
      </c>
      <c r="B323" s="405">
        <f t="shared" si="3"/>
        <v>1.5050364797234375</v>
      </c>
      <c r="C323" s="405">
        <f t="shared" si="3"/>
        <v>1.7545548762819336</v>
      </c>
      <c r="D323" s="405">
        <f t="shared" si="3"/>
        <v>1.7394695511970382</v>
      </c>
      <c r="E323" s="299"/>
      <c r="F323" s="299"/>
      <c r="G323" s="299"/>
      <c r="H323" s="402"/>
      <c r="I323" s="301"/>
      <c r="J323" s="301"/>
      <c r="K323" s="301"/>
      <c r="L323" s="301"/>
      <c r="M323" s="301"/>
      <c r="N323" s="301"/>
    </row>
    <row r="324" spans="1:14" ht="12.75" customHeight="1" x14ac:dyDescent="0.15">
      <c r="A324" s="67"/>
      <c r="B324" s="412"/>
      <c r="C324" s="412"/>
      <c r="D324" s="412"/>
      <c r="E324" s="299"/>
      <c r="F324" s="299"/>
      <c r="G324" s="299"/>
      <c r="H324" s="402"/>
      <c r="I324" s="301"/>
      <c r="J324" s="301"/>
      <c r="K324" s="301"/>
      <c r="L324" s="301"/>
      <c r="M324" s="301"/>
      <c r="N324" s="301"/>
    </row>
    <row r="325" spans="1:14" ht="12.75" customHeight="1" x14ac:dyDescent="0.15">
      <c r="A325" s="67"/>
      <c r="B325" s="405"/>
      <c r="C325" s="405"/>
      <c r="D325" s="405"/>
      <c r="E325" s="299"/>
      <c r="F325" s="299"/>
      <c r="G325" s="299"/>
      <c r="H325" s="402"/>
      <c r="I325" s="301"/>
      <c r="J325" s="301"/>
      <c r="K325" s="301"/>
      <c r="L325" s="301"/>
      <c r="M325" s="301"/>
      <c r="N325" s="301"/>
    </row>
    <row r="326" spans="1:14" ht="12.75" customHeight="1" thickBot="1" x14ac:dyDescent="0.2">
      <c r="A326" s="67"/>
      <c r="B326" s="405"/>
      <c r="C326" s="405"/>
      <c r="D326" s="405"/>
      <c r="E326" s="299"/>
      <c r="F326" s="299"/>
      <c r="G326" s="299"/>
      <c r="H326" s="402"/>
      <c r="I326" s="301"/>
      <c r="J326" s="301"/>
      <c r="K326" s="301"/>
      <c r="L326" s="301"/>
      <c r="M326" s="301"/>
      <c r="N326" s="301"/>
    </row>
    <row r="327" spans="1:14" ht="12.75" customHeight="1" thickBot="1" x14ac:dyDescent="0.2">
      <c r="A327" s="49" t="s">
        <v>376</v>
      </c>
      <c r="B327" s="381"/>
      <c r="C327" s="381"/>
      <c r="D327" s="381"/>
      <c r="E327" s="381"/>
      <c r="F327" s="381"/>
      <c r="G327" s="381"/>
      <c r="H327" s="382"/>
      <c r="I327" s="301"/>
      <c r="J327" s="301"/>
      <c r="K327" s="301"/>
      <c r="L327" s="301"/>
      <c r="M327" s="301"/>
      <c r="N327" s="301"/>
    </row>
    <row r="328" spans="1:14" ht="12.75" customHeight="1" x14ac:dyDescent="0.15">
      <c r="A328" s="67"/>
      <c r="B328" s="405"/>
      <c r="C328" s="405"/>
      <c r="D328" s="405"/>
      <c r="E328" s="299"/>
      <c r="F328" s="299"/>
      <c r="G328" s="299"/>
      <c r="H328" s="402"/>
      <c r="I328" s="301"/>
      <c r="J328" s="301"/>
      <c r="K328" s="301"/>
      <c r="L328" s="301"/>
      <c r="M328" s="301"/>
      <c r="N328" s="301"/>
    </row>
    <row r="329" spans="1:14" ht="12.75" customHeight="1" x14ac:dyDescent="0.15">
      <c r="A329" s="410"/>
      <c r="B329" s="365"/>
      <c r="C329" s="68" t="s">
        <v>373</v>
      </c>
      <c r="D329" s="365"/>
      <c r="E329" s="299"/>
      <c r="F329" s="299"/>
      <c r="G329" s="299"/>
      <c r="H329" s="402"/>
      <c r="I329" s="301"/>
      <c r="J329" s="301"/>
      <c r="K329" s="301"/>
      <c r="L329" s="301"/>
      <c r="M329" s="301"/>
      <c r="N329" s="301"/>
    </row>
    <row r="330" spans="1:14" ht="12.75" customHeight="1" x14ac:dyDescent="0.15">
      <c r="A330" s="410"/>
      <c r="B330" s="69">
        <f>C295</f>
        <v>2022</v>
      </c>
      <c r="C330" s="69">
        <f>D295</f>
        <v>2023</v>
      </c>
      <c r="D330" s="69">
        <f>E295</f>
        <v>2024</v>
      </c>
      <c r="E330" s="299"/>
      <c r="F330" s="299"/>
      <c r="G330" s="299"/>
      <c r="H330" s="402"/>
      <c r="I330" s="301"/>
      <c r="J330" s="301"/>
      <c r="K330" s="301"/>
      <c r="L330" s="301"/>
      <c r="M330" s="301"/>
      <c r="N330" s="301"/>
    </row>
    <row r="331" spans="1:14" ht="12.75" customHeight="1" x14ac:dyDescent="0.15">
      <c r="A331" s="67" t="s">
        <v>377</v>
      </c>
      <c r="B331" s="396">
        <f>B318</f>
        <v>0.18917868699794316</v>
      </c>
      <c r="C331" s="396">
        <f>C318</f>
        <v>0.21455604955477839</v>
      </c>
      <c r="D331" s="396">
        <f>D318</f>
        <v>0.2017949546438785</v>
      </c>
      <c r="E331" s="299"/>
      <c r="F331" s="299"/>
      <c r="G331" s="299"/>
      <c r="H331" s="402"/>
      <c r="I331" s="301"/>
      <c r="J331" s="301"/>
      <c r="K331" s="301"/>
      <c r="L331" s="301"/>
      <c r="M331" s="301"/>
      <c r="N331" s="301"/>
    </row>
    <row r="332" spans="1:14" ht="12.75" customHeight="1" x14ac:dyDescent="0.15">
      <c r="A332" s="410"/>
      <c r="B332" s="399"/>
      <c r="C332" s="399"/>
      <c r="D332" s="399"/>
      <c r="E332" s="299"/>
      <c r="F332" s="299"/>
      <c r="G332" s="299"/>
      <c r="H332" s="402"/>
      <c r="I332" s="301"/>
      <c r="J332" s="301"/>
      <c r="K332" s="301"/>
      <c r="L332" s="301"/>
      <c r="M332" s="301"/>
      <c r="N332" s="301"/>
    </row>
    <row r="333" spans="1:14" ht="12.75" customHeight="1" x14ac:dyDescent="0.15">
      <c r="A333" s="67" t="s">
        <v>378</v>
      </c>
      <c r="B333" s="70"/>
      <c r="C333" s="70"/>
      <c r="D333" s="70"/>
      <c r="E333" s="299"/>
      <c r="F333" s="299"/>
      <c r="G333" s="299"/>
      <c r="H333" s="402"/>
      <c r="I333" s="301"/>
      <c r="J333" s="301"/>
      <c r="K333" s="301"/>
      <c r="L333" s="301"/>
      <c r="M333" s="301"/>
      <c r="N333" s="301"/>
    </row>
    <row r="334" spans="1:14" ht="12.75" customHeight="1" x14ac:dyDescent="0.15">
      <c r="A334" s="67" t="s">
        <v>379</v>
      </c>
      <c r="B334" s="413">
        <f>Data!E65</f>
        <v>38260.6</v>
      </c>
      <c r="C334" s="413">
        <f>Data!F65</f>
        <v>41182.5</v>
      </c>
      <c r="D334" s="413">
        <f>Data!G65</f>
        <v>43486.8</v>
      </c>
      <c r="E334" s="299"/>
      <c r="F334" s="299"/>
      <c r="G334" s="299"/>
      <c r="H334" s="402"/>
      <c r="I334" s="301"/>
      <c r="J334" s="301"/>
      <c r="K334" s="315"/>
      <c r="L334" s="315"/>
      <c r="M334" s="315"/>
      <c r="N334" s="315"/>
    </row>
    <row r="335" spans="1:14" ht="12.75" customHeight="1" x14ac:dyDescent="0.15">
      <c r="A335" s="67" t="s">
        <v>380</v>
      </c>
      <c r="B335" s="414">
        <f>Data!E90+(-Data!E79-Data!E80-Data!E81)*(1+Data!E84/Data!E83)-Data!E146-Data!E144</f>
        <v>5403.1359997897653</v>
      </c>
      <c r="C335" s="414">
        <f>Data!F90+(-Data!F79-Data!F80-Data!F81)*(1+Data!F84/Data!F83)-Data!F146-Data!F144</f>
        <v>5922.2039533052503</v>
      </c>
      <c r="D335" s="414">
        <f>Data!G90+(-Data!G79-Data!G80-Data!G81)*(1+Data!G84/Data!G83)-Data!G146-Data!G144</f>
        <v>6250.420118820336</v>
      </c>
      <c r="E335" s="299"/>
      <c r="F335" s="415"/>
      <c r="G335" s="408"/>
      <c r="H335" s="402"/>
      <c r="I335" s="301"/>
      <c r="J335" s="301"/>
      <c r="K335" s="315"/>
      <c r="L335" s="315"/>
      <c r="M335" s="315"/>
      <c r="N335" s="315"/>
    </row>
    <row r="336" spans="1:14" ht="12.75" customHeight="1" x14ac:dyDescent="0.15">
      <c r="A336" s="67" t="s">
        <v>381</v>
      </c>
      <c r="B336" s="416">
        <f>((-Data!E79-Data!E80-Data!E81)*(1+Data!E84/Data!E83)-Data!E89+Data!E146)</f>
        <v>-250.26400021023304</v>
      </c>
      <c r="C336" s="416">
        <f>((-Data!F79-Data!F80-Data!F81)*(1+Data!F84/Data!F83)-Data!F89+Data!F146)</f>
        <v>-118.99604669474682</v>
      </c>
      <c r="D336" s="416">
        <f>((-Data!G79-Data!G80-Data!G81)*(1+Data!G84/Data!G83)-Data!G89+Data!G146)</f>
        <v>-33.679881179665372</v>
      </c>
      <c r="E336" s="301"/>
      <c r="F336" s="301"/>
      <c r="G336" s="301"/>
      <c r="H336" s="402"/>
      <c r="I336" s="301"/>
      <c r="J336" s="301"/>
      <c r="K336" s="315"/>
      <c r="L336" s="315"/>
      <c r="M336" s="315"/>
      <c r="N336" s="315"/>
    </row>
    <row r="337" spans="1:10" ht="12.75" customHeight="1" x14ac:dyDescent="0.15">
      <c r="A337" s="67" t="s">
        <v>382</v>
      </c>
      <c r="B337" s="416">
        <f>((Data!E33-Data!E36-Data!E37-Data!E42-Data!E43-Data!E48-Data!E48)+(Data!D33-Data!D36-Data!D37-Data!D42-Data!D43-Data!D48-Data!D49))/2</f>
        <v>32739.400000000009</v>
      </c>
      <c r="C337" s="416">
        <f>((Data!F33-Data!F36-Data!F37-Data!F42-Data!F43-Data!F48-Data!F48)+(Data!E33-Data!E36-Data!E37-Data!E42-Data!E43-Data!E48-Data!E49))/2</f>
        <v>36679.400000000009</v>
      </c>
      <c r="D337" s="416">
        <f>((Data!G33-Data!G36-Data!G37-Data!G42-Data!G43-Data!G48-Data!G48)+(Data!F33-Data!F36-Data!F37-Data!F42-Data!F43-Data!F48-Data!F49))/2</f>
        <v>41056.350000000006</v>
      </c>
      <c r="E337" s="408"/>
      <c r="F337" s="408"/>
      <c r="G337" s="299"/>
      <c r="H337" s="402"/>
      <c r="I337" s="301"/>
      <c r="J337" s="301"/>
    </row>
    <row r="338" spans="1:10" ht="12.75" customHeight="1" x14ac:dyDescent="0.15">
      <c r="A338" s="67" t="s">
        <v>383</v>
      </c>
      <c r="B338" s="416">
        <f>((Data!E38+Data!E39+Data!E40+Data!E41+Data!E45+Data!E46+Data!E47+Data!E52+Data!E58)+(Data!D38+Data!D39+Data!D40+Data!D41+Data!D45+Data!D46+Data!D47+Data!D52+Data!D58))/2</f>
        <v>3202.4499999999994</v>
      </c>
      <c r="C338" s="416">
        <f>((Data!F38+Data!F39+Data!F40+Data!F41+Data!F45+Data!F46+Data!F47+Data!F52+Data!F58)+(Data!E38+Data!E39+Data!E40+Data!E41+Data!E45+Data!E46+Data!E47+Data!E52+Data!E58))/2</f>
        <v>8848.7999999999993</v>
      </c>
      <c r="D338" s="416">
        <f>((Data!G38+Data!G39+Data!G40+Data!G41+Data!G45+Data!G46+Data!G47+Data!G52+Data!G58)+(Data!F38+Data!F39+Data!F40+Data!F41+Data!F45+Data!F46+Data!F47+Data!F52+Data!F58))/2</f>
        <v>10322.799999999999</v>
      </c>
      <c r="E338" s="408"/>
      <c r="F338" s="408"/>
      <c r="G338" s="299"/>
      <c r="H338" s="402"/>
      <c r="I338" s="301"/>
      <c r="J338" s="301"/>
    </row>
    <row r="339" spans="1:10" ht="12.75" customHeight="1" x14ac:dyDescent="0.15">
      <c r="A339" s="67" t="s">
        <v>384</v>
      </c>
      <c r="B339" s="416">
        <f>(Data!E57+Data!D57)/2</f>
        <v>29852.2</v>
      </c>
      <c r="C339" s="416">
        <f>(Data!F57+Data!E57)/2</f>
        <v>28126.45</v>
      </c>
      <c r="D339" s="416">
        <f>(Data!G57+Data!F57)/2</f>
        <v>31103.850000000002</v>
      </c>
      <c r="E339" s="408"/>
      <c r="F339" s="408"/>
      <c r="G339" s="299"/>
      <c r="H339" s="402"/>
      <c r="I339" s="301"/>
      <c r="J339" s="301"/>
    </row>
    <row r="340" spans="1:10" ht="12.75" customHeight="1" x14ac:dyDescent="0.15">
      <c r="A340" s="67"/>
      <c r="B340" s="416"/>
      <c r="C340" s="416"/>
      <c r="D340" s="416"/>
      <c r="E340" s="408"/>
      <c r="F340" s="408"/>
      <c r="G340" s="299"/>
      <c r="H340" s="402"/>
      <c r="I340" s="301"/>
      <c r="J340" s="301"/>
    </row>
    <row r="341" spans="1:10" ht="12.75" customHeight="1" x14ac:dyDescent="0.15">
      <c r="A341" s="67" t="s">
        <v>385</v>
      </c>
      <c r="B341" s="417">
        <f>B335/B334</f>
        <v>0.14121932222154815</v>
      </c>
      <c r="C341" s="417">
        <f>C335/C334</f>
        <v>0.14380389615261943</v>
      </c>
      <c r="D341" s="417">
        <f>D335/D334</f>
        <v>0.14373143387925383</v>
      </c>
      <c r="E341" s="408"/>
      <c r="F341" s="408"/>
      <c r="G341" s="299"/>
      <c r="H341" s="402"/>
      <c r="I341" s="301"/>
      <c r="J341" s="301"/>
    </row>
    <row r="342" spans="1:10" ht="12.75" customHeight="1" x14ac:dyDescent="0.15">
      <c r="A342" s="67" t="s">
        <v>386</v>
      </c>
      <c r="B342" s="412">
        <f>B334/B337</f>
        <v>1.168640842532239</v>
      </c>
      <c r="C342" s="412">
        <f>C334/C337</f>
        <v>1.1227691837925373</v>
      </c>
      <c r="D342" s="412">
        <f>D334/D337</f>
        <v>1.0591979072664763</v>
      </c>
      <c r="E342" s="299"/>
      <c r="F342" s="299"/>
      <c r="G342" s="299"/>
      <c r="H342" s="402"/>
      <c r="I342" s="301"/>
      <c r="J342" s="301"/>
    </row>
    <row r="343" spans="1:10" ht="12.75" customHeight="1" x14ac:dyDescent="0.15">
      <c r="A343" s="67" t="s">
        <v>387</v>
      </c>
      <c r="B343" s="412">
        <f>B335/B337</f>
        <v>0.1650346677028218</v>
      </c>
      <c r="C343" s="412">
        <f>C335/C337</f>
        <v>0.16145858310946332</v>
      </c>
      <c r="D343" s="412">
        <f>D335/D337</f>
        <v>0.15224003397331559</v>
      </c>
      <c r="E343" s="299"/>
      <c r="F343" s="418"/>
      <c r="G343" s="418"/>
      <c r="H343" s="402"/>
      <c r="I343" s="301"/>
      <c r="J343" s="301"/>
    </row>
    <row r="344" spans="1:10" ht="12.75" customHeight="1" x14ac:dyDescent="0.15">
      <c r="A344" s="67"/>
      <c r="B344" s="412"/>
      <c r="C344" s="412"/>
      <c r="D344" s="412"/>
      <c r="E344" s="299"/>
      <c r="F344" s="418"/>
      <c r="G344" s="418"/>
      <c r="H344" s="402"/>
      <c r="I344" s="301"/>
      <c r="J344" s="301"/>
    </row>
    <row r="345" spans="1:10" ht="12.75" customHeight="1" x14ac:dyDescent="0.15">
      <c r="A345" s="67" t="s">
        <v>388</v>
      </c>
      <c r="B345" s="412">
        <f>B336/B338</f>
        <v>-7.8147668257188427E-2</v>
      </c>
      <c r="C345" s="412">
        <f>C336/C338</f>
        <v>-1.3447704400003032E-2</v>
      </c>
      <c r="D345" s="412">
        <f>D336/D338</f>
        <v>-3.2626691575604852E-3</v>
      </c>
      <c r="E345" s="299"/>
      <c r="F345" s="299"/>
      <c r="G345" s="299"/>
      <c r="H345" s="402"/>
      <c r="I345" s="301"/>
      <c r="J345" s="301"/>
    </row>
    <row r="346" spans="1:10" ht="12.75" customHeight="1" x14ac:dyDescent="0.15">
      <c r="A346" s="67" t="s">
        <v>389</v>
      </c>
      <c r="B346" s="412">
        <f>B343-B345</f>
        <v>0.24318233596001021</v>
      </c>
      <c r="C346" s="412">
        <f>C343-C345</f>
        <v>0.17490628750946635</v>
      </c>
      <c r="D346" s="412">
        <f>D343-D345</f>
        <v>0.15550270313087608</v>
      </c>
      <c r="E346" s="299"/>
      <c r="F346" s="299"/>
      <c r="G346" s="299"/>
      <c r="H346" s="402"/>
      <c r="I346" s="301"/>
      <c r="J346" s="301"/>
    </row>
    <row r="347" spans="1:10" ht="12.75" customHeight="1" x14ac:dyDescent="0.15">
      <c r="A347" s="67" t="s">
        <v>390</v>
      </c>
      <c r="B347" s="412">
        <f>B338/B339</f>
        <v>0.10727685061737491</v>
      </c>
      <c r="C347" s="412">
        <f>C338/C339</f>
        <v>0.31460778022110858</v>
      </c>
      <c r="D347" s="412">
        <f>D338/D339</f>
        <v>0.33188174454287811</v>
      </c>
      <c r="E347" s="299"/>
      <c r="F347" s="299"/>
      <c r="G347" s="299"/>
      <c r="H347" s="402"/>
      <c r="I347" s="301"/>
      <c r="J347" s="301"/>
    </row>
    <row r="348" spans="1:10" ht="12.75" customHeight="1" x14ac:dyDescent="0.15">
      <c r="A348" s="67" t="s">
        <v>391</v>
      </c>
      <c r="B348" s="412">
        <f>B346*B347</f>
        <v>2.6087835127566295E-2</v>
      </c>
      <c r="C348" s="412">
        <f>C346*C347</f>
        <v>5.5026878860068219E-2</v>
      </c>
      <c r="D348" s="412">
        <f>D346*D347</f>
        <v>5.1608508396208425E-2</v>
      </c>
      <c r="E348" s="299"/>
      <c r="F348" s="299"/>
      <c r="G348" s="299"/>
      <c r="H348" s="402"/>
      <c r="I348" s="301"/>
      <c r="J348" s="301"/>
    </row>
    <row r="349" spans="1:10" ht="12.75" customHeight="1" x14ac:dyDescent="0.15">
      <c r="A349" s="67"/>
      <c r="B349" s="412"/>
      <c r="C349" s="412"/>
      <c r="D349" s="412"/>
      <c r="E349" s="299"/>
      <c r="F349" s="299"/>
      <c r="G349" s="299"/>
      <c r="H349" s="402"/>
      <c r="I349" s="301"/>
      <c r="J349" s="301"/>
    </row>
    <row r="350" spans="1:10" ht="12.75" customHeight="1" x14ac:dyDescent="0.15">
      <c r="A350" s="67" t="s">
        <v>392</v>
      </c>
      <c r="B350" s="412">
        <f>B343+B348</f>
        <v>0.19112250283038809</v>
      </c>
      <c r="C350" s="412">
        <f>C343+C348</f>
        <v>0.21648546196953153</v>
      </c>
      <c r="D350" s="412">
        <f>D343+D348</f>
        <v>0.20384854236952402</v>
      </c>
      <c r="E350" s="299"/>
      <c r="F350" s="299"/>
      <c r="G350" s="299"/>
      <c r="H350" s="402"/>
      <c r="I350" s="301"/>
      <c r="J350" s="301"/>
    </row>
    <row r="351" spans="1:10" ht="12.75" customHeight="1" x14ac:dyDescent="0.15">
      <c r="A351" s="410"/>
      <c r="B351" s="401"/>
      <c r="C351" s="401"/>
      <c r="D351" s="401"/>
      <c r="E351" s="419"/>
      <c r="F351" s="419"/>
      <c r="G351" s="419"/>
      <c r="H351" s="420"/>
      <c r="I351" s="301"/>
      <c r="J351" s="301"/>
    </row>
    <row r="352" spans="1:10" ht="12.75" customHeight="1" thickBot="1" x14ac:dyDescent="0.2">
      <c r="A352" s="421"/>
      <c r="B352" s="372"/>
      <c r="C352" s="372"/>
      <c r="D352" s="372"/>
      <c r="E352" s="372"/>
      <c r="F352" s="372"/>
      <c r="G352" s="372"/>
      <c r="H352" s="422"/>
      <c r="I352" s="301"/>
      <c r="J352" s="301"/>
    </row>
    <row r="353" spans="1:10" ht="12.75" customHeight="1" x14ac:dyDescent="0.15">
      <c r="A353" s="301"/>
      <c r="B353" s="301"/>
      <c r="C353" s="301"/>
      <c r="D353" s="301"/>
      <c r="E353" s="301"/>
      <c r="F353" s="301"/>
      <c r="G353" s="301"/>
      <c r="H353" s="301"/>
      <c r="I353" s="301"/>
      <c r="J353" s="301"/>
    </row>
    <row r="354" spans="1:10" ht="12.75" customHeight="1" x14ac:dyDescent="0.15">
      <c r="A354" s="301"/>
      <c r="B354" s="301"/>
      <c r="C354" s="301"/>
      <c r="D354" s="301"/>
      <c r="E354" s="301"/>
      <c r="F354" s="301"/>
      <c r="G354" s="301"/>
      <c r="H354" s="301"/>
      <c r="I354" s="301"/>
      <c r="J354" s="301"/>
    </row>
    <row r="355" spans="1:10" ht="12.75" customHeight="1" thickBot="1" x14ac:dyDescent="0.2">
      <c r="A355" s="301"/>
      <c r="B355" s="301"/>
      <c r="C355" s="301"/>
      <c r="D355" s="301"/>
      <c r="E355" s="301"/>
      <c r="F355" s="301"/>
      <c r="G355" s="301"/>
      <c r="H355" s="301"/>
      <c r="I355" s="301"/>
      <c r="J355" s="301"/>
    </row>
    <row r="356" spans="1:10" ht="12.75" customHeight="1" thickBot="1" x14ac:dyDescent="0.2">
      <c r="A356" s="49" t="s">
        <v>393</v>
      </c>
      <c r="B356" s="397"/>
      <c r="C356" s="397"/>
      <c r="D356" s="397"/>
      <c r="E356" s="397"/>
      <c r="F356" s="398"/>
      <c r="G356" s="423"/>
      <c r="H356" s="301"/>
      <c r="I356" s="301"/>
      <c r="J356" s="37" t="s">
        <v>394</v>
      </c>
    </row>
    <row r="357" spans="1:10" ht="12.75" customHeight="1" thickBot="1" x14ac:dyDescent="0.2">
      <c r="A357" s="38" t="s">
        <v>207</v>
      </c>
      <c r="B357" s="39">
        <f>Data!$C$11</f>
        <v>2020</v>
      </c>
      <c r="C357" s="39">
        <f>Data!$D$11</f>
        <v>2021</v>
      </c>
      <c r="D357" s="39">
        <f>Data!$E$11</f>
        <v>2022</v>
      </c>
      <c r="E357" s="39">
        <f>Data!$F$11</f>
        <v>2023</v>
      </c>
      <c r="F357" s="39">
        <f>Data!$G$11</f>
        <v>2024</v>
      </c>
      <c r="G357" s="76"/>
      <c r="H357" s="301"/>
      <c r="I357" s="301"/>
      <c r="J357" s="301" t="s">
        <v>395</v>
      </c>
    </row>
    <row r="358" spans="1:10" ht="12.75" customHeight="1" x14ac:dyDescent="0.15">
      <c r="A358" s="35"/>
      <c r="B358" s="62"/>
      <c r="C358" s="399"/>
      <c r="D358" s="62"/>
      <c r="E358" s="399"/>
      <c r="F358" s="399"/>
      <c r="G358" s="77"/>
      <c r="H358" s="301"/>
      <c r="I358" s="301"/>
      <c r="J358" s="301" t="s">
        <v>396</v>
      </c>
    </row>
    <row r="359" spans="1:10" ht="12.75" customHeight="1" x14ac:dyDescent="0.15">
      <c r="A359" s="64" t="s">
        <v>397</v>
      </c>
      <c r="B359" s="58"/>
      <c r="C359" s="63"/>
      <c r="D359" s="63"/>
      <c r="E359" s="399"/>
      <c r="F359" s="399"/>
      <c r="G359" s="77"/>
      <c r="H359" s="301"/>
      <c r="I359" s="301"/>
      <c r="J359" s="301"/>
    </row>
    <row r="360" spans="1:10" ht="12.75" customHeight="1" x14ac:dyDescent="0.15">
      <c r="A360" s="14" t="str">
        <f>Data!A99</f>
        <v>Net Income</v>
      </c>
      <c r="B360" s="14">
        <f>Data!C99</f>
        <v>3567.6</v>
      </c>
      <c r="C360" s="14">
        <f>Data!D99</f>
        <v>4602.1999999999989</v>
      </c>
      <c r="D360" s="14">
        <f>Data!E99</f>
        <v>5712.5999999999985</v>
      </c>
      <c r="E360" s="14">
        <f>Data!F99</f>
        <v>6190.4999999999973</v>
      </c>
      <c r="F360" s="14">
        <f>Data!G99</f>
        <v>6416.5000000000009</v>
      </c>
      <c r="G360" s="396"/>
      <c r="H360" s="301"/>
      <c r="I360" s="301"/>
      <c r="J360" s="301"/>
    </row>
    <row r="361" spans="1:10" ht="12.75" customHeight="1" x14ac:dyDescent="0.15">
      <c r="A361" s="298" t="str">
        <f>Data!A100</f>
        <v>Add back depreciation and amortization expenses</v>
      </c>
      <c r="B361" s="298">
        <f>Data!C100</f>
        <v>2028.1</v>
      </c>
      <c r="C361" s="298">
        <f>Data!D100</f>
        <v>1781</v>
      </c>
      <c r="D361" s="298">
        <f>Data!E100</f>
        <v>1536.1</v>
      </c>
      <c r="E361" s="298">
        <f>Data!F100</f>
        <v>1715</v>
      </c>
      <c r="F361" s="298">
        <f>Data!G100</f>
        <v>1855.3</v>
      </c>
      <c r="G361" s="396"/>
      <c r="H361" s="301"/>
      <c r="I361" s="301"/>
      <c r="J361" s="301"/>
    </row>
    <row r="362" spans="1:10" ht="12.75" customHeight="1" x14ac:dyDescent="0.15">
      <c r="A362" s="349" t="s">
        <v>398</v>
      </c>
      <c r="B362" s="424">
        <f>SUM(Data!C104:C112)</f>
        <v>0</v>
      </c>
      <c r="C362" s="424">
        <f>SUM(Data!D104:D112)</f>
        <v>0</v>
      </c>
      <c r="D362" s="424">
        <f>SUM(Data!E104:E112)</f>
        <v>0</v>
      </c>
      <c r="E362" s="424">
        <f>SUM(Data!F104:F112)</f>
        <v>0</v>
      </c>
      <c r="F362" s="424">
        <f>SUM(Data!G104:G112)</f>
        <v>0</v>
      </c>
      <c r="G362" s="396"/>
      <c r="H362" s="301"/>
      <c r="I362" s="301"/>
      <c r="J362" s="301"/>
    </row>
    <row r="363" spans="1:10" ht="12.75" customHeight="1" x14ac:dyDescent="0.15">
      <c r="A363" s="349" t="s">
        <v>399</v>
      </c>
      <c r="B363" s="424">
        <f>SUM(Data!C101:C103)+SUM(Data!C113:C114)</f>
        <v>857.6</v>
      </c>
      <c r="C363" s="424">
        <f>SUM(Data!D101:D103)+SUM(Data!D113:D114)</f>
        <v>345.09999999999997</v>
      </c>
      <c r="D363" s="424">
        <f>SUM(Data!E101:E103)+SUM(Data!E113:E114)</f>
        <v>-970.39999999999986</v>
      </c>
      <c r="E363" s="424">
        <f>SUM(Data!F101:F103)+SUM(Data!F113:F114)</f>
        <v>-300.89999999999998</v>
      </c>
      <c r="F363" s="424">
        <f>SUM(Data!G101:G103)+SUM(Data!G113:G114)</f>
        <v>14.299999999999983</v>
      </c>
      <c r="G363" s="396"/>
      <c r="H363" s="301"/>
      <c r="I363" s="301"/>
      <c r="J363" s="301"/>
    </row>
    <row r="364" spans="1:10" ht="12.75" customHeight="1" x14ac:dyDescent="0.15">
      <c r="A364" s="14" t="str">
        <f>Data!A115</f>
        <v xml:space="preserve">  Net CF from Operating Activities</v>
      </c>
      <c r="B364" s="14">
        <f>SUM(B360:B363)</f>
        <v>6453.3</v>
      </c>
      <c r="C364" s="14">
        <f>SUM(C360:C363)</f>
        <v>6728.2999999999993</v>
      </c>
      <c r="D364" s="14">
        <f>SUM(D360:D363)</f>
        <v>6278.2999999999993</v>
      </c>
      <c r="E364" s="14">
        <f>SUM(E360:E363)</f>
        <v>7604.5999999999976</v>
      </c>
      <c r="F364" s="14">
        <f>SUM(F360:F363)</f>
        <v>8286.1</v>
      </c>
      <c r="G364" s="396"/>
      <c r="H364" s="301"/>
      <c r="I364" s="301"/>
      <c r="J364" s="301"/>
    </row>
    <row r="365" spans="1:10" ht="12.75" customHeight="1" x14ac:dyDescent="0.15">
      <c r="A365" s="298"/>
      <c r="B365" s="298"/>
      <c r="C365" s="298"/>
      <c r="D365" s="298"/>
      <c r="E365" s="298"/>
      <c r="F365" s="298"/>
      <c r="G365" s="396"/>
      <c r="H365" s="301"/>
      <c r="I365" s="301"/>
      <c r="J365" s="301"/>
    </row>
    <row r="366" spans="1:10" ht="12.75" customHeight="1" x14ac:dyDescent="0.15">
      <c r="A366" s="14" t="s">
        <v>400</v>
      </c>
      <c r="B366" s="298"/>
      <c r="C366" s="298"/>
      <c r="D366" s="298"/>
      <c r="E366" s="298"/>
      <c r="F366" s="298"/>
      <c r="G366" s="396"/>
      <c r="H366" s="301"/>
      <c r="I366" s="301"/>
      <c r="J366" s="301"/>
    </row>
    <row r="367" spans="1:10" ht="12.75" customHeight="1" x14ac:dyDescent="0.15">
      <c r="A367" s="349" t="s">
        <v>401</v>
      </c>
      <c r="B367" s="424">
        <f>Data!C116+Data!C117</f>
        <v>-945.8</v>
      </c>
      <c r="C367" s="424">
        <f>Data!D116+Data!D117</f>
        <v>-1060.7</v>
      </c>
      <c r="D367" s="424">
        <f>Data!E116+Data!E117</f>
        <v>-1334</v>
      </c>
      <c r="E367" s="424">
        <f>Data!F116+Data!F117</f>
        <v>-1475.9</v>
      </c>
      <c r="F367" s="424">
        <f>Data!G116+Data!G117</f>
        <v>-1628.1000000000001</v>
      </c>
      <c r="G367" s="396"/>
      <c r="H367" s="301"/>
      <c r="I367" s="301"/>
      <c r="J367" s="301"/>
    </row>
    <row r="368" spans="1:10" ht="12.75" customHeight="1" x14ac:dyDescent="0.15">
      <c r="A368" s="349" t="s">
        <v>402</v>
      </c>
      <c r="B368" s="424">
        <f>SUM(Data!C118:C120)</f>
        <v>-66.5</v>
      </c>
      <c r="C368" s="424">
        <f>SUM(Data!D118:D120)</f>
        <v>-117.3</v>
      </c>
      <c r="D368" s="424">
        <f>SUM(Data!E118:E120)</f>
        <v>-142.80000000000001</v>
      </c>
      <c r="E368" s="424">
        <f>SUM(Data!F118:F120)</f>
        <v>-170.7</v>
      </c>
      <c r="F368" s="424">
        <f>SUM(Data!G118:G120)</f>
        <v>-1927</v>
      </c>
      <c r="G368" s="396"/>
      <c r="H368" s="301"/>
      <c r="I368" s="301"/>
      <c r="J368" s="301"/>
    </row>
    <row r="369" spans="1:7" ht="12.75" customHeight="1" x14ac:dyDescent="0.15">
      <c r="A369" s="349" t="s">
        <v>403</v>
      </c>
      <c r="B369" s="424">
        <f>Data!C121+Data!C122</f>
        <v>-1626.8</v>
      </c>
      <c r="C369" s="424">
        <f>Data!D121+Data!D122</f>
        <v>-455.7</v>
      </c>
      <c r="D369" s="424">
        <f>Data!E121+Data!E122</f>
        <v>-746.9</v>
      </c>
      <c r="E369" s="424">
        <f>Data!F121+Data!F122</f>
        <v>-2497.1999999999998</v>
      </c>
      <c r="F369" s="424">
        <f>Data!G121+Data!G122</f>
        <v>-148.9</v>
      </c>
      <c r="G369" s="396"/>
    </row>
    <row r="370" spans="1:7" ht="12.75" customHeight="1" x14ac:dyDescent="0.15">
      <c r="A370" s="14" t="str">
        <f>Data!A123</f>
        <v xml:space="preserve">  Net CF from Investing Activities</v>
      </c>
      <c r="B370" s="78">
        <f>SUM(B367:B369)</f>
        <v>-2639.1</v>
      </c>
      <c r="C370" s="78">
        <f>SUM(C367:C369)</f>
        <v>-1633.7</v>
      </c>
      <c r="D370" s="78">
        <f>SUM(D367:D369)</f>
        <v>-2223.6999999999998</v>
      </c>
      <c r="E370" s="78">
        <f>SUM(E367:E369)</f>
        <v>-4143.8</v>
      </c>
      <c r="F370" s="78">
        <f>SUM(F367:F369)</f>
        <v>-3704.0000000000005</v>
      </c>
      <c r="G370" s="79"/>
    </row>
    <row r="371" spans="1:7" ht="12.75" customHeight="1" x14ac:dyDescent="0.15">
      <c r="A371" s="349"/>
      <c r="B371" s="424"/>
      <c r="C371" s="424"/>
      <c r="D371" s="424"/>
      <c r="E371" s="424"/>
      <c r="F371" s="424"/>
      <c r="G371" s="396"/>
    </row>
    <row r="372" spans="1:7" ht="12.75" customHeight="1" x14ac:dyDescent="0.15">
      <c r="A372" s="48" t="s">
        <v>404</v>
      </c>
      <c r="B372" s="424"/>
      <c r="C372" s="424"/>
      <c r="D372" s="424"/>
      <c r="E372" s="424"/>
      <c r="F372" s="424"/>
      <c r="G372" s="301"/>
    </row>
    <row r="373" spans="1:7" ht="12.75" customHeight="1" x14ac:dyDescent="0.15">
      <c r="A373" s="349" t="s">
        <v>405</v>
      </c>
      <c r="B373" s="424">
        <f>Data!C124</f>
        <v>-74.8</v>
      </c>
      <c r="C373" s="424">
        <f>Data!D124</f>
        <v>3939.4</v>
      </c>
      <c r="D373" s="424">
        <f>Data!E124</f>
        <v>-3563.8</v>
      </c>
      <c r="E373" s="424">
        <f>Data!F124</f>
        <v>-823.7</v>
      </c>
      <c r="F373" s="424">
        <f>Data!G124</f>
        <v>-1775.9</v>
      </c>
      <c r="G373" s="301"/>
    </row>
    <row r="374" spans="1:7" ht="12.75" customHeight="1" x14ac:dyDescent="0.15">
      <c r="A374" s="349" t="s">
        <v>406</v>
      </c>
      <c r="B374" s="424">
        <f>Data!C125</f>
        <v>-3.6</v>
      </c>
      <c r="C374" s="424">
        <f>Data!D125</f>
        <v>0</v>
      </c>
      <c r="D374" s="424">
        <f>Data!E125</f>
        <v>3019.9</v>
      </c>
      <c r="E374" s="424">
        <f>Data!F125</f>
        <v>3567.1</v>
      </c>
      <c r="F374" s="424">
        <f>Data!G125</f>
        <v>1521.4</v>
      </c>
      <c r="G374" s="301"/>
    </row>
    <row r="375" spans="1:7" ht="12.75" customHeight="1" x14ac:dyDescent="0.15">
      <c r="A375" s="349" t="s">
        <v>407</v>
      </c>
      <c r="B375" s="424">
        <f>Data!C126+Data!C127+Data!C128</f>
        <v>0</v>
      </c>
      <c r="C375" s="424">
        <f>Data!D126+Data!D127+Data!D128</f>
        <v>-10060.9</v>
      </c>
      <c r="D375" s="424">
        <f>Data!E126+Data!E127+Data!E128</f>
        <v>-502.3</v>
      </c>
      <c r="E375" s="424">
        <f>Data!F126+Data!F127+Data!F128</f>
        <v>-503.3</v>
      </c>
      <c r="F375" s="424">
        <f>Data!G126+Data!G127+Data!G128</f>
        <v>-511.4</v>
      </c>
      <c r="G375" s="301"/>
    </row>
    <row r="376" spans="1:7" ht="12.75" customHeight="1" x14ac:dyDescent="0.15">
      <c r="A376" s="349" t="s">
        <v>408</v>
      </c>
      <c r="B376" s="424">
        <f>Data!C129</f>
        <v>-2190.6</v>
      </c>
      <c r="C376" s="424">
        <f>Data!D129</f>
        <v>-2352.1</v>
      </c>
      <c r="D376" s="424">
        <f>Data!E129</f>
        <v>-2689.9</v>
      </c>
      <c r="E376" s="424">
        <f>Data!F129</f>
        <v>-3425.6</v>
      </c>
      <c r="F376" s="424">
        <f>Data!G129</f>
        <v>-3614.9</v>
      </c>
      <c r="G376" s="301"/>
    </row>
    <row r="377" spans="1:7" ht="12.75" customHeight="1" x14ac:dyDescent="0.15">
      <c r="A377" s="349" t="s">
        <v>409</v>
      </c>
      <c r="B377" s="424">
        <f>Data!C130+Data!C131</f>
        <v>-322.10000000000002</v>
      </c>
      <c r="C377" s="424">
        <f>Data!D130+Data!D131</f>
        <v>-390.59999999999997</v>
      </c>
      <c r="D377" s="424">
        <f>Data!E130+Data!E131</f>
        <v>-343.7</v>
      </c>
      <c r="E377" s="424">
        <f>Data!F130+Data!F131</f>
        <v>-429.1</v>
      </c>
      <c r="F377" s="424">
        <f>Data!G130+Data!G131</f>
        <v>-404.3</v>
      </c>
      <c r="G377" s="301"/>
    </row>
    <row r="378" spans="1:7" ht="12.75" customHeight="1" x14ac:dyDescent="0.15">
      <c r="A378" s="14" t="str">
        <f>Data!A132</f>
        <v xml:space="preserve">  Net CF from Financing Activities</v>
      </c>
      <c r="B378" s="78">
        <f>SUM(B373:B377)</f>
        <v>-2591.1</v>
      </c>
      <c r="C378" s="78">
        <f>SUM(C373:C377)</f>
        <v>-8864.2000000000007</v>
      </c>
      <c r="D378" s="78">
        <f>SUM(D373:D377)</f>
        <v>-4079.8</v>
      </c>
      <c r="E378" s="78">
        <f>SUM(E373:E377)</f>
        <v>-1614.6000000000004</v>
      </c>
      <c r="F378" s="78">
        <f>SUM(F373:F377)</f>
        <v>-4785.1000000000004</v>
      </c>
      <c r="G378" s="301"/>
    </row>
    <row r="379" spans="1:7" ht="12.75" customHeight="1" x14ac:dyDescent="0.15">
      <c r="A379" s="349"/>
      <c r="B379" s="424"/>
      <c r="C379" s="424"/>
      <c r="D379" s="424"/>
      <c r="E379" s="424"/>
      <c r="F379" s="424"/>
      <c r="G379" s="301"/>
    </row>
    <row r="380" spans="1:7" x14ac:dyDescent="0.15">
      <c r="A380" s="298" t="str">
        <f>Data!A133</f>
        <v>Effects of exchange rate changes on cash</v>
      </c>
      <c r="B380" s="298">
        <f>Data!C133</f>
        <v>-103.2</v>
      </c>
      <c r="C380" s="298">
        <f>Data!D133</f>
        <v>77.400000000000006</v>
      </c>
      <c r="D380" s="298">
        <f>Data!E133</f>
        <v>-70.7</v>
      </c>
      <c r="E380" s="298">
        <f>Data!F133</f>
        <v>-175.9</v>
      </c>
      <c r="F380" s="298">
        <f>Data!G133</f>
        <v>-32.799999999999997</v>
      </c>
      <c r="G380" s="301"/>
    </row>
    <row r="381" spans="1:7" x14ac:dyDescent="0.15">
      <c r="A381" s="14" t="str">
        <f>Data!A134</f>
        <v xml:space="preserve">  Net Change in Cash</v>
      </c>
      <c r="B381" s="14">
        <f>B364+B370+B378+B380</f>
        <v>1119.9000000000003</v>
      </c>
      <c r="C381" s="14">
        <f>C364+C370+C378+C380</f>
        <v>-3692.2000000000012</v>
      </c>
      <c r="D381" s="14">
        <f>D364+D370+D378+D380</f>
        <v>-95.90000000000073</v>
      </c>
      <c r="E381" s="14">
        <f>E364+E370+E378+E380</f>
        <v>1670.299999999997</v>
      </c>
      <c r="F381" s="14">
        <f>F364+F370+F378+F380</f>
        <v>-235.8</v>
      </c>
      <c r="G381" s="301"/>
    </row>
    <row r="452" spans="9:21" x14ac:dyDescent="0.15">
      <c r="I452" s="299"/>
      <c r="J452" s="299"/>
      <c r="K452" s="299"/>
      <c r="L452" s="299"/>
      <c r="M452" s="299"/>
      <c r="N452" s="299"/>
      <c r="O452" s="299"/>
      <c r="P452" s="299"/>
      <c r="Q452" s="299"/>
      <c r="R452" s="299"/>
      <c r="S452" s="299"/>
      <c r="T452" s="299"/>
      <c r="U452" s="299"/>
    </row>
    <row r="453" spans="9:21" x14ac:dyDescent="0.15">
      <c r="I453" s="299"/>
      <c r="J453" s="299"/>
      <c r="K453" s="299"/>
      <c r="L453" s="299"/>
      <c r="M453" s="299"/>
      <c r="N453" s="299"/>
      <c r="O453" s="299"/>
      <c r="P453" s="299"/>
      <c r="Q453" s="299"/>
      <c r="R453" s="299"/>
      <c r="S453" s="299"/>
      <c r="T453" s="299"/>
      <c r="U453" s="299"/>
    </row>
    <row r="454" spans="9:21" x14ac:dyDescent="0.15">
      <c r="I454" s="299"/>
      <c r="J454" s="299"/>
      <c r="K454" s="299"/>
      <c r="L454" s="299"/>
      <c r="M454" s="299"/>
      <c r="N454" s="299"/>
      <c r="O454" s="299"/>
      <c r="P454" s="299"/>
      <c r="Q454" s="299"/>
      <c r="R454" s="299"/>
      <c r="S454" s="299"/>
      <c r="T454" s="299"/>
      <c r="U454" s="299"/>
    </row>
    <row r="455" spans="9:21" x14ac:dyDescent="0.15">
      <c r="I455" s="299"/>
      <c r="J455" s="299"/>
      <c r="K455" s="299"/>
      <c r="L455" s="299"/>
      <c r="M455" s="299"/>
      <c r="N455" s="299"/>
      <c r="O455" s="299"/>
      <c r="P455" s="299"/>
      <c r="Q455" s="299"/>
      <c r="R455" s="299"/>
      <c r="S455" s="299"/>
      <c r="T455" s="299"/>
      <c r="U455" s="299"/>
    </row>
    <row r="456" spans="9:21" x14ac:dyDescent="0.15">
      <c r="I456" s="299"/>
      <c r="J456" s="299"/>
      <c r="K456" s="299"/>
      <c r="L456" s="299"/>
      <c r="M456" s="299"/>
      <c r="N456" s="299"/>
      <c r="O456" s="299"/>
      <c r="P456" s="299"/>
      <c r="Q456" s="299"/>
      <c r="R456" s="299"/>
      <c r="S456" s="299"/>
      <c r="T456" s="299"/>
      <c r="U456" s="299"/>
    </row>
    <row r="457" spans="9:21" x14ac:dyDescent="0.15">
      <c r="I457" s="299"/>
      <c r="J457" s="299"/>
      <c r="K457" s="299"/>
      <c r="L457" s="299"/>
      <c r="M457" s="299"/>
      <c r="N457" s="299"/>
      <c r="O457" s="299"/>
      <c r="P457" s="299"/>
      <c r="Q457" s="299"/>
      <c r="R457" s="299"/>
      <c r="S457" s="299"/>
      <c r="T457" s="299"/>
      <c r="U457" s="299"/>
    </row>
    <row r="458" spans="9:21" x14ac:dyDescent="0.15">
      <c r="I458" s="299"/>
      <c r="J458" s="299"/>
      <c r="K458" s="299"/>
      <c r="L458" s="299"/>
      <c r="M458" s="299"/>
      <c r="N458" s="299"/>
      <c r="O458" s="299"/>
      <c r="P458" s="299"/>
      <c r="Q458" s="299"/>
      <c r="R458" s="299"/>
      <c r="S458" s="299"/>
      <c r="T458" s="299"/>
      <c r="U458" s="299"/>
    </row>
    <row r="459" spans="9:21" x14ac:dyDescent="0.15">
      <c r="I459" s="299"/>
      <c r="J459" s="299"/>
      <c r="K459" s="299"/>
      <c r="L459" s="299"/>
      <c r="M459" s="299"/>
      <c r="N459" s="299"/>
      <c r="O459" s="299"/>
      <c r="P459" s="299"/>
      <c r="Q459" s="299"/>
      <c r="R459" s="299"/>
      <c r="S459" s="299"/>
      <c r="T459" s="299"/>
      <c r="U459" s="299"/>
    </row>
    <row r="460" spans="9:21" x14ac:dyDescent="0.15">
      <c r="I460" s="299"/>
      <c r="J460" s="299"/>
      <c r="K460" s="299"/>
      <c r="L460" s="299"/>
      <c r="M460" s="299"/>
      <c r="N460" s="299"/>
      <c r="O460" s="299"/>
      <c r="P460" s="299"/>
      <c r="Q460" s="299"/>
      <c r="R460" s="299"/>
      <c r="S460" s="299"/>
      <c r="T460" s="299"/>
      <c r="U460" s="299"/>
    </row>
    <row r="461" spans="9:21" x14ac:dyDescent="0.15">
      <c r="I461" s="299"/>
      <c r="J461" s="299"/>
      <c r="K461" s="299"/>
      <c r="L461" s="299"/>
      <c r="M461" s="299"/>
      <c r="N461" s="299"/>
      <c r="O461" s="299"/>
      <c r="P461" s="299"/>
      <c r="Q461" s="299"/>
      <c r="R461" s="299"/>
      <c r="S461" s="299"/>
      <c r="T461" s="299"/>
      <c r="U461" s="299"/>
    </row>
    <row r="462" spans="9:21" x14ac:dyDescent="0.15">
      <c r="I462" s="299"/>
      <c r="J462" s="299"/>
      <c r="K462" s="299"/>
      <c r="L462" s="299"/>
      <c r="M462" s="299"/>
      <c r="N462" s="299"/>
      <c r="O462" s="299"/>
      <c r="P462" s="299"/>
      <c r="Q462" s="299"/>
      <c r="R462" s="299"/>
      <c r="S462" s="299"/>
      <c r="T462" s="299"/>
      <c r="U462" s="299"/>
    </row>
    <row r="463" spans="9:21" x14ac:dyDescent="0.15">
      <c r="I463" s="299"/>
      <c r="J463" s="299"/>
      <c r="K463" s="299"/>
      <c r="L463" s="299"/>
      <c r="M463" s="299"/>
      <c r="N463" s="299"/>
      <c r="O463" s="299"/>
      <c r="P463" s="299"/>
      <c r="Q463" s="299"/>
      <c r="R463" s="299"/>
      <c r="S463" s="299"/>
      <c r="T463" s="299"/>
      <c r="U463" s="299"/>
    </row>
    <row r="464" spans="9:21" x14ac:dyDescent="0.15">
      <c r="I464" s="299"/>
      <c r="J464" s="299"/>
      <c r="K464" s="299"/>
      <c r="L464" s="299"/>
      <c r="M464" s="299"/>
      <c r="N464" s="299"/>
      <c r="O464" s="299"/>
      <c r="P464" s="299"/>
      <c r="Q464" s="299"/>
      <c r="R464" s="299"/>
      <c r="S464" s="299"/>
      <c r="T464" s="299"/>
      <c r="U464" s="299"/>
    </row>
    <row r="465" spans="9:21" x14ac:dyDescent="0.15">
      <c r="I465" s="299"/>
      <c r="J465" s="299"/>
      <c r="K465" s="299"/>
      <c r="L465" s="299"/>
      <c r="M465" s="299"/>
      <c r="N465" s="299"/>
      <c r="O465" s="299"/>
      <c r="P465" s="299"/>
      <c r="Q465" s="299"/>
      <c r="R465" s="299"/>
      <c r="S465" s="299"/>
      <c r="T465" s="299"/>
      <c r="U465" s="299"/>
    </row>
    <row r="466" spans="9:21" x14ac:dyDescent="0.15">
      <c r="I466" s="299"/>
      <c r="J466" s="299"/>
      <c r="K466" s="299"/>
      <c r="L466" s="299"/>
      <c r="M466" s="299"/>
      <c r="N466" s="299"/>
      <c r="O466" s="299"/>
      <c r="P466" s="299"/>
      <c r="Q466" s="299"/>
      <c r="R466" s="299"/>
      <c r="S466" s="299"/>
      <c r="T466" s="299"/>
      <c r="U466" s="299"/>
    </row>
    <row r="467" spans="9:21" x14ac:dyDescent="0.15">
      <c r="I467" s="299"/>
      <c r="J467" s="299"/>
      <c r="K467" s="299"/>
      <c r="L467" s="299"/>
      <c r="M467" s="299"/>
      <c r="N467" s="299"/>
      <c r="O467" s="299"/>
      <c r="P467" s="299"/>
      <c r="Q467" s="299"/>
      <c r="R467" s="299"/>
      <c r="S467" s="299"/>
      <c r="T467" s="299"/>
      <c r="U467" s="299"/>
    </row>
    <row r="468" spans="9:21" x14ac:dyDescent="0.15">
      <c r="I468" s="299"/>
      <c r="J468" s="299"/>
      <c r="K468" s="299"/>
      <c r="L468" s="299"/>
      <c r="M468" s="299"/>
      <c r="N468" s="299"/>
      <c r="O468" s="299"/>
      <c r="P468" s="299"/>
      <c r="Q468" s="299"/>
      <c r="R468" s="299"/>
      <c r="S468" s="299"/>
      <c r="T468" s="299"/>
      <c r="U468" s="299"/>
    </row>
    <row r="469" spans="9:21" x14ac:dyDescent="0.15">
      <c r="I469" s="299"/>
      <c r="J469" s="299"/>
      <c r="K469" s="299"/>
      <c r="L469" s="299"/>
      <c r="M469" s="299"/>
      <c r="N469" s="299"/>
      <c r="O469" s="299"/>
      <c r="P469" s="299"/>
      <c r="Q469" s="299"/>
      <c r="R469" s="299"/>
      <c r="S469" s="299"/>
      <c r="T469" s="299"/>
      <c r="U469" s="299"/>
    </row>
    <row r="470" spans="9:21" x14ac:dyDescent="0.15">
      <c r="I470" s="299"/>
      <c r="J470" s="299"/>
      <c r="K470" s="299"/>
      <c r="L470" s="299"/>
      <c r="M470" s="299"/>
      <c r="N470" s="299"/>
      <c r="O470" s="299"/>
      <c r="P470" s="299"/>
      <c r="Q470" s="299"/>
      <c r="R470" s="299"/>
      <c r="S470" s="299"/>
      <c r="T470" s="299"/>
      <c r="U470" s="299"/>
    </row>
    <row r="471" spans="9:21" x14ac:dyDescent="0.15">
      <c r="I471" s="299"/>
      <c r="J471" s="299"/>
      <c r="K471" s="299"/>
      <c r="L471" s="299"/>
      <c r="M471" s="299"/>
      <c r="N471" s="299"/>
      <c r="O471" s="299"/>
      <c r="P471" s="299"/>
      <c r="Q471" s="299"/>
      <c r="R471" s="299"/>
      <c r="S471" s="299"/>
      <c r="T471" s="299"/>
      <c r="U471" s="299"/>
    </row>
    <row r="472" spans="9:21" x14ac:dyDescent="0.15">
      <c r="I472" s="299"/>
      <c r="J472" s="299"/>
      <c r="K472" s="299"/>
      <c r="L472" s="299"/>
      <c r="M472" s="299"/>
      <c r="N472" s="299"/>
      <c r="O472" s="299"/>
      <c r="P472" s="299"/>
      <c r="Q472" s="299"/>
      <c r="R472" s="299"/>
      <c r="S472" s="299"/>
      <c r="T472" s="299"/>
      <c r="U472" s="299"/>
    </row>
    <row r="473" spans="9:21" x14ac:dyDescent="0.15">
      <c r="I473" s="299"/>
      <c r="J473" s="299"/>
      <c r="K473" s="299"/>
      <c r="L473" s="299"/>
      <c r="M473" s="299"/>
      <c r="N473" s="299"/>
      <c r="O473" s="299"/>
      <c r="P473" s="299"/>
      <c r="Q473" s="299"/>
      <c r="R473" s="299"/>
      <c r="S473" s="299"/>
      <c r="T473" s="299"/>
      <c r="U473" s="299"/>
    </row>
    <row r="474" spans="9:21" x14ac:dyDescent="0.15">
      <c r="I474" s="299"/>
      <c r="J474" s="299"/>
      <c r="K474" s="299"/>
      <c r="L474" s="299"/>
      <c r="M474" s="299"/>
      <c r="N474" s="299"/>
      <c r="O474" s="299"/>
      <c r="P474" s="299"/>
      <c r="Q474" s="299"/>
      <c r="R474" s="299"/>
      <c r="S474" s="299"/>
      <c r="T474" s="299"/>
      <c r="U474" s="299"/>
    </row>
    <row r="475" spans="9:21" x14ac:dyDescent="0.15">
      <c r="I475" s="299"/>
      <c r="J475" s="299"/>
      <c r="K475" s="299"/>
      <c r="L475" s="299"/>
      <c r="M475" s="299"/>
      <c r="N475" s="299"/>
      <c r="O475" s="299"/>
      <c r="P475" s="299"/>
      <c r="Q475" s="299"/>
      <c r="R475" s="299"/>
      <c r="S475" s="299"/>
      <c r="T475" s="299"/>
      <c r="U475" s="299"/>
    </row>
    <row r="476" spans="9:21" x14ac:dyDescent="0.15">
      <c r="I476" s="299"/>
      <c r="J476" s="299"/>
      <c r="K476" s="299"/>
      <c r="L476" s="299"/>
      <c r="M476" s="299"/>
      <c r="N476" s="299"/>
      <c r="O476" s="299"/>
      <c r="P476" s="299"/>
      <c r="Q476" s="299"/>
      <c r="R476" s="299"/>
      <c r="S476" s="299"/>
      <c r="T476" s="299"/>
      <c r="U476" s="299"/>
    </row>
    <row r="477" spans="9:21" x14ac:dyDescent="0.15">
      <c r="I477" s="299"/>
      <c r="J477" s="299"/>
      <c r="K477" s="299"/>
      <c r="L477" s="299"/>
      <c r="M477" s="299"/>
      <c r="N477" s="299"/>
      <c r="O477" s="299"/>
      <c r="P477" s="299"/>
      <c r="Q477" s="299"/>
      <c r="R477" s="299"/>
      <c r="S477" s="299"/>
      <c r="T477" s="299"/>
      <c r="U477" s="299"/>
    </row>
    <row r="478" spans="9:21" x14ac:dyDescent="0.15">
      <c r="I478" s="299"/>
      <c r="J478" s="299"/>
      <c r="K478" s="299"/>
      <c r="L478" s="299"/>
      <c r="M478" s="299"/>
      <c r="N478" s="299"/>
      <c r="O478" s="299"/>
      <c r="P478" s="299"/>
      <c r="Q478" s="299"/>
      <c r="R478" s="299"/>
      <c r="S478" s="299"/>
      <c r="T478" s="299"/>
      <c r="U478" s="299"/>
    </row>
    <row r="479" spans="9:21" x14ac:dyDescent="0.15">
      <c r="I479" s="299"/>
      <c r="J479" s="299"/>
      <c r="K479" s="299"/>
      <c r="L479" s="299"/>
      <c r="M479" s="299"/>
      <c r="N479" s="299"/>
      <c r="O479" s="299"/>
      <c r="P479" s="299"/>
      <c r="Q479" s="299"/>
      <c r="R479" s="299"/>
      <c r="S479" s="299"/>
      <c r="T479" s="299"/>
      <c r="U479" s="299"/>
    </row>
    <row r="480" spans="9:21" x14ac:dyDescent="0.15">
      <c r="I480" s="299"/>
      <c r="J480" s="299"/>
      <c r="K480" s="299"/>
      <c r="L480" s="299"/>
      <c r="M480" s="299"/>
      <c r="N480" s="299"/>
      <c r="O480" s="299"/>
      <c r="P480" s="299"/>
      <c r="Q480" s="299"/>
      <c r="R480" s="299"/>
      <c r="S480" s="299"/>
      <c r="T480" s="299"/>
      <c r="U480" s="299"/>
    </row>
    <row r="481" spans="9:21" x14ac:dyDescent="0.15">
      <c r="I481" s="299"/>
      <c r="J481" s="299"/>
      <c r="K481" s="299"/>
      <c r="L481" s="299"/>
      <c r="M481" s="299"/>
      <c r="N481" s="299"/>
      <c r="O481" s="299"/>
      <c r="P481" s="299"/>
      <c r="Q481" s="299"/>
      <c r="R481" s="299"/>
      <c r="S481" s="299"/>
      <c r="T481" s="299"/>
      <c r="U481" s="299"/>
    </row>
    <row r="482" spans="9:21" x14ac:dyDescent="0.15">
      <c r="I482" s="299"/>
      <c r="J482" s="299"/>
      <c r="K482" s="299"/>
      <c r="L482" s="299"/>
      <c r="M482" s="299"/>
      <c r="N482" s="299"/>
      <c r="O482" s="299"/>
      <c r="P482" s="299"/>
      <c r="Q482" s="299"/>
      <c r="R482" s="299"/>
      <c r="S482" s="299"/>
      <c r="T482" s="299"/>
      <c r="U482" s="299"/>
    </row>
    <row r="483" spans="9:21" x14ac:dyDescent="0.15">
      <c r="I483" s="299"/>
      <c r="J483" s="299"/>
      <c r="K483" s="299"/>
      <c r="L483" s="299"/>
      <c r="M483" s="299"/>
      <c r="N483" s="299"/>
      <c r="O483" s="299"/>
      <c r="P483" s="299"/>
      <c r="Q483" s="299"/>
      <c r="R483" s="299"/>
      <c r="S483" s="299"/>
      <c r="T483" s="299"/>
      <c r="U483" s="299"/>
    </row>
    <row r="484" spans="9:21" x14ac:dyDescent="0.15">
      <c r="I484" s="299"/>
      <c r="J484" s="299"/>
      <c r="K484" s="299"/>
      <c r="L484" s="299"/>
      <c r="M484" s="299"/>
      <c r="N484" s="299"/>
      <c r="O484" s="299"/>
      <c r="P484" s="299"/>
      <c r="Q484" s="299"/>
      <c r="R484" s="299"/>
      <c r="S484" s="299"/>
      <c r="T484" s="299"/>
      <c r="U484" s="299"/>
    </row>
    <row r="485" spans="9:21" x14ac:dyDescent="0.15">
      <c r="I485" s="299"/>
      <c r="J485" s="299"/>
      <c r="K485" s="299"/>
      <c r="L485" s="299"/>
      <c r="M485" s="299"/>
      <c r="N485" s="299"/>
      <c r="O485" s="299"/>
      <c r="P485" s="299"/>
      <c r="Q485" s="299"/>
      <c r="R485" s="299"/>
      <c r="S485" s="299"/>
      <c r="T485" s="299"/>
      <c r="U485" s="299"/>
    </row>
    <row r="486" spans="9:21" x14ac:dyDescent="0.15">
      <c r="I486" s="299"/>
      <c r="J486" s="299"/>
      <c r="K486" s="299"/>
      <c r="L486" s="299"/>
      <c r="M486" s="299"/>
      <c r="N486" s="299"/>
      <c r="O486" s="299"/>
      <c r="P486" s="299"/>
      <c r="Q486" s="299"/>
      <c r="R486" s="299"/>
      <c r="S486" s="299"/>
      <c r="T486" s="299"/>
      <c r="U486" s="299"/>
    </row>
    <row r="487" spans="9:21" x14ac:dyDescent="0.15">
      <c r="I487" s="299"/>
      <c r="J487" s="299"/>
      <c r="K487" s="299"/>
      <c r="L487" s="299"/>
      <c r="M487" s="299"/>
      <c r="N487" s="299"/>
      <c r="O487" s="299"/>
      <c r="P487" s="299"/>
      <c r="Q487" s="299"/>
      <c r="R487" s="299"/>
      <c r="S487" s="299"/>
      <c r="T487" s="299"/>
      <c r="U487" s="299"/>
    </row>
    <row r="488" spans="9:21" x14ac:dyDescent="0.15">
      <c r="I488" s="299"/>
      <c r="J488" s="299"/>
      <c r="K488" s="299"/>
      <c r="L488" s="299"/>
      <c r="M488" s="299"/>
      <c r="N488" s="299"/>
      <c r="O488" s="299"/>
      <c r="P488" s="299"/>
      <c r="Q488" s="299"/>
      <c r="R488" s="299"/>
      <c r="S488" s="299"/>
      <c r="T488" s="299"/>
      <c r="U488" s="299"/>
    </row>
    <row r="489" spans="9:21" x14ac:dyDescent="0.15">
      <c r="I489" s="299"/>
      <c r="J489" s="299"/>
      <c r="K489" s="299"/>
      <c r="L489" s="299"/>
      <c r="M489" s="299"/>
      <c r="N489" s="299"/>
      <c r="O489" s="299"/>
      <c r="P489" s="299"/>
      <c r="Q489" s="299"/>
      <c r="R489" s="299"/>
      <c r="S489" s="299"/>
      <c r="T489" s="299"/>
      <c r="U489" s="299"/>
    </row>
    <row r="490" spans="9:21" x14ac:dyDescent="0.15">
      <c r="I490" s="299"/>
      <c r="J490" s="299"/>
      <c r="K490" s="299"/>
      <c r="L490" s="299"/>
      <c r="M490" s="299"/>
      <c r="N490" s="299"/>
      <c r="O490" s="299"/>
      <c r="P490" s="299"/>
      <c r="Q490" s="299"/>
      <c r="R490" s="299"/>
      <c r="S490" s="299"/>
      <c r="T490" s="299"/>
      <c r="U490" s="299"/>
    </row>
    <row r="491" spans="9:21" x14ac:dyDescent="0.15">
      <c r="I491" s="299"/>
      <c r="J491" s="299"/>
      <c r="K491" s="299"/>
      <c r="L491" s="299"/>
      <c r="M491" s="299"/>
      <c r="N491" s="299"/>
      <c r="O491" s="299"/>
      <c r="P491" s="299"/>
      <c r="Q491" s="299"/>
      <c r="R491" s="299"/>
      <c r="S491" s="299"/>
      <c r="T491" s="299"/>
      <c r="U491" s="299"/>
    </row>
    <row r="492" spans="9:21" x14ac:dyDescent="0.15">
      <c r="I492" s="299"/>
      <c r="J492" s="299"/>
      <c r="K492" s="299"/>
      <c r="L492" s="299"/>
      <c r="M492" s="299"/>
      <c r="N492" s="299"/>
      <c r="O492" s="299"/>
      <c r="P492" s="299"/>
      <c r="Q492" s="299"/>
      <c r="R492" s="299"/>
      <c r="S492" s="299"/>
      <c r="T492" s="299"/>
      <c r="U492" s="299"/>
    </row>
    <row r="493" spans="9:21" x14ac:dyDescent="0.15">
      <c r="I493" s="299"/>
      <c r="J493" s="299"/>
      <c r="K493" s="299"/>
      <c r="L493" s="299"/>
      <c r="M493" s="299"/>
      <c r="N493" s="299"/>
      <c r="O493" s="299"/>
      <c r="P493" s="299"/>
      <c r="Q493" s="299"/>
      <c r="R493" s="299"/>
      <c r="S493" s="299"/>
      <c r="T493" s="299"/>
      <c r="U493" s="299"/>
    </row>
    <row r="494" spans="9:21" x14ac:dyDescent="0.15">
      <c r="I494" s="299"/>
      <c r="J494" s="299"/>
      <c r="K494" s="299"/>
      <c r="L494" s="299"/>
      <c r="M494" s="299"/>
      <c r="N494" s="299"/>
      <c r="O494" s="299"/>
      <c r="P494" s="299"/>
      <c r="Q494" s="299"/>
      <c r="R494" s="299"/>
      <c r="S494" s="299"/>
      <c r="T494" s="299"/>
      <c r="U494" s="299"/>
    </row>
    <row r="495" spans="9:21" x14ac:dyDescent="0.15">
      <c r="I495" s="299"/>
      <c r="J495" s="299"/>
      <c r="K495" s="299"/>
      <c r="L495" s="299"/>
      <c r="M495" s="299"/>
      <c r="N495" s="299"/>
      <c r="O495" s="299"/>
      <c r="P495" s="299"/>
      <c r="Q495" s="299"/>
      <c r="R495" s="299"/>
      <c r="S495" s="299"/>
      <c r="T495" s="299"/>
      <c r="U495" s="299"/>
    </row>
    <row r="496" spans="9:21" x14ac:dyDescent="0.15">
      <c r="I496" s="299"/>
      <c r="J496" s="299"/>
      <c r="K496" s="299"/>
      <c r="L496" s="299"/>
      <c r="M496" s="299"/>
      <c r="N496" s="299"/>
      <c r="O496" s="299"/>
      <c r="P496" s="299"/>
      <c r="Q496" s="299"/>
      <c r="R496" s="299"/>
      <c r="S496" s="299"/>
      <c r="T496" s="299"/>
      <c r="U496" s="299"/>
    </row>
    <row r="497" spans="9:21" x14ac:dyDescent="0.15">
      <c r="I497" s="299"/>
      <c r="J497" s="299"/>
      <c r="K497" s="299"/>
      <c r="L497" s="299"/>
      <c r="M497" s="299"/>
      <c r="N497" s="299"/>
      <c r="O497" s="299"/>
      <c r="P497" s="299"/>
      <c r="Q497" s="299"/>
      <c r="R497" s="299"/>
      <c r="S497" s="299"/>
      <c r="T497" s="299"/>
      <c r="U497" s="299"/>
    </row>
    <row r="498" spans="9:21" x14ac:dyDescent="0.15">
      <c r="I498" s="299"/>
      <c r="J498" s="299"/>
      <c r="K498" s="299"/>
      <c r="L498" s="299"/>
      <c r="M498" s="299"/>
      <c r="N498" s="299"/>
      <c r="O498" s="299"/>
      <c r="P498" s="299"/>
      <c r="Q498" s="299"/>
      <c r="R498" s="299"/>
      <c r="S498" s="299"/>
      <c r="T498" s="299"/>
      <c r="U498" s="299"/>
    </row>
    <row r="499" spans="9:21" x14ac:dyDescent="0.15">
      <c r="I499" s="299"/>
      <c r="J499" s="299"/>
      <c r="K499" s="299"/>
      <c r="L499" s="299"/>
      <c r="M499" s="299"/>
      <c r="N499" s="299"/>
      <c r="O499" s="299"/>
      <c r="P499" s="299"/>
      <c r="Q499" s="299"/>
      <c r="R499" s="299"/>
      <c r="S499" s="299"/>
      <c r="T499" s="299"/>
      <c r="U499" s="299"/>
    </row>
    <row r="500" spans="9:21" x14ac:dyDescent="0.15">
      <c r="I500" s="299"/>
      <c r="J500" s="299"/>
      <c r="K500" s="299"/>
      <c r="L500" s="299"/>
      <c r="M500" s="299"/>
      <c r="N500" s="299"/>
      <c r="O500" s="299"/>
      <c r="P500" s="299"/>
      <c r="Q500" s="299"/>
      <c r="R500" s="299"/>
      <c r="S500" s="299"/>
      <c r="T500" s="299"/>
      <c r="U500" s="299"/>
    </row>
  </sheetData>
  <phoneticPr fontId="0" type="noConversion"/>
  <printOptions gridLines="1"/>
  <pageMargins left="0.75" right="0.75" top="1" bottom="1" header="0.5" footer="0.5"/>
  <pageSetup scale="80" orientation="portrait" horizontalDpi="300" verticalDpi="300" r:id="rId1"/>
  <headerFooter alignWithMargins="0"/>
  <rowBreaks count="8" manualBreakCount="8">
    <brk id="44" max="7" man="1"/>
    <brk id="72" max="7" man="1"/>
    <brk id="119" max="7" man="1"/>
    <brk id="151" max="7" man="1"/>
    <brk id="186" max="7" man="1"/>
    <brk id="237" max="7" man="1"/>
    <brk id="289" max="7" man="1"/>
    <brk id="353" max="7" man="1"/>
  </row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386"/>
  <sheetViews>
    <sheetView zoomScale="125" zoomScaleNormal="70" workbookViewId="0">
      <selection activeCell="D97" sqref="D97"/>
    </sheetView>
  </sheetViews>
  <sheetFormatPr baseColWidth="10" defaultColWidth="9.1640625" defaultRowHeight="13" x14ac:dyDescent="0.15"/>
  <cols>
    <col min="1" max="1" width="88.33203125" style="7" bestFit="1" customWidth="1"/>
    <col min="2" max="4" width="9.6640625" style="7" customWidth="1"/>
    <col min="5" max="5" width="56" style="7" customWidth="1"/>
    <col min="6" max="10" width="9.6640625" style="7" customWidth="1"/>
    <col min="11" max="11" width="9.1640625" style="7"/>
    <col min="12" max="12" width="12" style="7" customWidth="1"/>
    <col min="13" max="13" width="12.1640625" style="7" customWidth="1"/>
    <col min="14" max="15" width="9.1640625" style="7"/>
    <col min="16" max="16" width="11" style="7" customWidth="1"/>
    <col min="17" max="16384" width="9.1640625" style="7"/>
  </cols>
  <sheetData>
    <row r="1" spans="1:19" x14ac:dyDescent="0.15">
      <c r="A1" s="80" t="str">
        <f>Data!A1</f>
        <v>Financial Statement Analysis Package (FSAP): Version 10.0</v>
      </c>
      <c r="B1" s="425"/>
      <c r="C1" s="425"/>
      <c r="D1" s="425"/>
      <c r="E1" s="425"/>
      <c r="F1" s="425"/>
      <c r="G1" s="425"/>
      <c r="H1" s="425"/>
      <c r="I1" s="425"/>
      <c r="J1" s="426"/>
      <c r="K1" s="301"/>
      <c r="L1" s="334"/>
      <c r="M1" s="335"/>
      <c r="N1" s="335"/>
      <c r="O1" s="335"/>
      <c r="P1" s="336"/>
      <c r="Q1" s="301"/>
      <c r="R1" s="301"/>
      <c r="S1" s="301"/>
    </row>
    <row r="2" spans="1:19" x14ac:dyDescent="0.15">
      <c r="A2" s="5" t="str">
        <f>Data!A2</f>
        <v>Financial Reporting, Financial Statement Analysis, and Valuation: A Strategic Perspective, 10th Edition</v>
      </c>
      <c r="B2" s="427"/>
      <c r="C2" s="427"/>
      <c r="D2" s="427"/>
      <c r="E2" s="427"/>
      <c r="F2" s="427"/>
      <c r="G2" s="427"/>
      <c r="H2" s="427"/>
      <c r="I2" s="427"/>
      <c r="J2" s="374"/>
      <c r="K2" s="301"/>
      <c r="L2" s="5" t="s">
        <v>2</v>
      </c>
      <c r="M2" s="338"/>
      <c r="N2" s="338"/>
      <c r="O2" s="338"/>
      <c r="P2" s="339"/>
      <c r="Q2" s="301"/>
      <c r="R2" s="301"/>
      <c r="S2" s="301"/>
    </row>
    <row r="3" spans="1:19" ht="14" thickBot="1" x14ac:dyDescent="0.2">
      <c r="A3" s="6" t="s">
        <v>410</v>
      </c>
      <c r="B3" s="390"/>
      <c r="C3" s="428"/>
      <c r="D3" s="390"/>
      <c r="E3" s="390"/>
      <c r="F3" s="390"/>
      <c r="G3" s="390"/>
      <c r="H3" s="390"/>
      <c r="I3" s="390"/>
      <c r="J3" s="391"/>
      <c r="K3" s="301"/>
      <c r="L3" s="360"/>
      <c r="M3" s="340"/>
      <c r="N3" s="340"/>
      <c r="O3" s="340"/>
      <c r="P3" s="341"/>
      <c r="Q3" s="301"/>
      <c r="R3" s="301"/>
      <c r="S3" s="301"/>
    </row>
    <row r="4" spans="1:19" x14ac:dyDescent="0.15">
      <c r="A4" s="301"/>
      <c r="B4" s="301"/>
      <c r="C4" s="301"/>
      <c r="D4" s="301"/>
      <c r="E4" s="301"/>
      <c r="F4" s="301"/>
      <c r="G4" s="301"/>
      <c r="H4" s="301"/>
      <c r="I4" s="301"/>
      <c r="J4" s="301"/>
      <c r="K4" s="301"/>
      <c r="L4" s="15" t="s">
        <v>4</v>
      </c>
      <c r="M4" s="15"/>
      <c r="N4" s="15"/>
      <c r="O4" s="15"/>
      <c r="P4" s="15"/>
      <c r="Q4" s="15"/>
      <c r="R4" s="242"/>
      <c r="S4" s="243"/>
    </row>
    <row r="6" spans="1:19" x14ac:dyDescent="0.15">
      <c r="A6" s="8" t="s">
        <v>411</v>
      </c>
      <c r="B6" s="301"/>
      <c r="C6" s="301"/>
      <c r="D6" s="301"/>
      <c r="E6" s="301"/>
      <c r="F6" s="301"/>
      <c r="G6" s="301"/>
      <c r="H6" s="301"/>
      <c r="I6" s="301"/>
      <c r="J6" s="301"/>
      <c r="K6" s="301"/>
      <c r="L6" s="37" t="s">
        <v>412</v>
      </c>
      <c r="M6" s="301"/>
      <c r="N6" s="301"/>
      <c r="O6" s="301"/>
      <c r="P6" s="301"/>
      <c r="Q6" s="301"/>
      <c r="R6" s="301"/>
      <c r="S6" s="301"/>
    </row>
    <row r="7" spans="1:19" x14ac:dyDescent="0.15">
      <c r="A7" s="301"/>
      <c r="B7" s="301"/>
      <c r="C7" s="301"/>
      <c r="D7" s="301"/>
      <c r="E7" s="301"/>
      <c r="F7" s="301"/>
      <c r="G7" s="301"/>
      <c r="H7" s="301"/>
      <c r="I7" s="301"/>
      <c r="J7" s="301"/>
      <c r="K7" s="301"/>
      <c r="L7" s="301" t="s">
        <v>413</v>
      </c>
      <c r="M7" s="301"/>
      <c r="N7" s="301"/>
      <c r="O7" s="301"/>
      <c r="P7" s="301"/>
      <c r="Q7" s="301"/>
      <c r="R7" s="301"/>
      <c r="S7" s="301"/>
    </row>
    <row r="9" spans="1:19" x14ac:dyDescent="0.15">
      <c r="A9" s="244" t="s">
        <v>414</v>
      </c>
      <c r="B9" s="82" t="s">
        <v>415</v>
      </c>
      <c r="C9" s="429"/>
      <c r="D9" s="429"/>
      <c r="E9" s="82"/>
      <c r="F9" s="429"/>
      <c r="G9" s="429"/>
      <c r="H9" s="429"/>
      <c r="I9" s="429"/>
      <c r="J9" s="430"/>
      <c r="K9" s="301"/>
      <c r="L9" s="301"/>
      <c r="M9" s="301"/>
      <c r="N9" s="301"/>
      <c r="O9" s="301"/>
      <c r="P9" s="301"/>
      <c r="Q9" s="301"/>
      <c r="R9" s="301"/>
      <c r="S9" s="301"/>
    </row>
    <row r="10" spans="1:19" x14ac:dyDescent="0.15">
      <c r="A10" s="83" t="str">
        <f>Data!A9</f>
        <v>Analyst Name:</v>
      </c>
      <c r="B10" s="84" t="str">
        <f>Data!B9</f>
        <v>Durdona Karimova &amp; Vincenzo Giordano</v>
      </c>
      <c r="C10" s="431"/>
      <c r="D10" s="85"/>
      <c r="E10" s="431"/>
      <c r="F10" s="431"/>
      <c r="G10" s="431"/>
      <c r="H10" s="431"/>
      <c r="I10" s="431"/>
      <c r="J10" s="432"/>
      <c r="K10" s="301"/>
      <c r="L10" s="301"/>
      <c r="M10" s="301"/>
      <c r="N10" s="301"/>
      <c r="O10" s="301"/>
      <c r="P10" s="301"/>
      <c r="Q10" s="301"/>
      <c r="R10" s="301"/>
      <c r="S10" s="301"/>
    </row>
    <row r="11" spans="1:19" x14ac:dyDescent="0.15">
      <c r="A11" s="83" t="str">
        <f>Data!A10</f>
        <v>Company Name:</v>
      </c>
      <c r="B11" s="84" t="str">
        <f>Data!B10</f>
        <v>L'Oreal</v>
      </c>
      <c r="C11" s="429"/>
      <c r="D11" s="429"/>
      <c r="E11" s="431"/>
      <c r="F11" s="431"/>
      <c r="G11" s="431"/>
      <c r="H11" s="431"/>
      <c r="I11" s="431"/>
      <c r="J11" s="432"/>
      <c r="K11" s="301"/>
      <c r="L11" s="301"/>
      <c r="M11" s="301"/>
      <c r="N11" s="301"/>
      <c r="O11" s="301"/>
      <c r="P11" s="301"/>
      <c r="Q11" s="301"/>
      <c r="R11" s="301"/>
      <c r="S11" s="301"/>
    </row>
    <row r="12" spans="1:19" x14ac:dyDescent="0.15">
      <c r="A12" s="433"/>
      <c r="B12" s="433"/>
      <c r="C12" s="433"/>
      <c r="D12" s="433"/>
      <c r="E12" s="433"/>
      <c r="F12" s="433"/>
      <c r="G12" s="433"/>
      <c r="H12" s="433"/>
      <c r="I12" s="433"/>
      <c r="J12" s="433"/>
      <c r="K12" s="301"/>
      <c r="L12" s="301"/>
      <c r="M12" s="301"/>
      <c r="N12" s="301"/>
      <c r="O12" s="301"/>
      <c r="P12" s="301"/>
      <c r="Q12" s="301"/>
      <c r="R12" s="301"/>
      <c r="S12" s="301"/>
    </row>
    <row r="13" spans="1:19" x14ac:dyDescent="0.15">
      <c r="A13" s="433"/>
      <c r="B13" s="86" t="s">
        <v>416</v>
      </c>
      <c r="C13" s="433"/>
      <c r="D13" s="433"/>
      <c r="E13" s="86" t="s">
        <v>416</v>
      </c>
      <c r="F13" s="433"/>
      <c r="G13" s="433"/>
      <c r="H13" s="433"/>
      <c r="I13" s="433"/>
      <c r="J13" s="433"/>
      <c r="K13" s="301"/>
      <c r="L13" s="301"/>
      <c r="M13" s="301"/>
      <c r="N13" s="301"/>
      <c r="O13" s="301"/>
      <c r="P13" s="301"/>
      <c r="Q13" s="301"/>
      <c r="R13" s="301"/>
      <c r="S13" s="301"/>
    </row>
    <row r="14" spans="1:19" x14ac:dyDescent="0.15">
      <c r="A14" s="433"/>
      <c r="B14" s="86" t="s">
        <v>417</v>
      </c>
      <c r="C14" s="433"/>
      <c r="D14" s="433"/>
      <c r="E14" s="87" t="s">
        <v>418</v>
      </c>
      <c r="F14" s="433"/>
      <c r="G14" s="433"/>
      <c r="H14" s="433"/>
      <c r="I14" s="433"/>
      <c r="J14" s="88" t="s">
        <v>419</v>
      </c>
      <c r="K14" s="301"/>
      <c r="L14" s="37" t="s">
        <v>420</v>
      </c>
      <c r="M14" s="301"/>
      <c r="N14" s="301"/>
      <c r="O14" s="301"/>
      <c r="P14" s="301"/>
      <c r="Q14" s="301"/>
      <c r="R14" s="301"/>
      <c r="S14" s="301"/>
    </row>
    <row r="15" spans="1:19" x14ac:dyDescent="0.15">
      <c r="A15" s="433"/>
      <c r="B15" s="433" t="s">
        <v>421</v>
      </c>
      <c r="C15" s="433"/>
      <c r="D15" s="433"/>
      <c r="E15" s="89" t="s">
        <v>422</v>
      </c>
      <c r="F15" s="433"/>
      <c r="G15" s="433"/>
      <c r="H15" s="433"/>
      <c r="I15" s="434" t="s">
        <v>423</v>
      </c>
      <c r="J15" s="90">
        <f>Valuation!$F$29</f>
        <v>0.04</v>
      </c>
      <c r="K15" s="301"/>
      <c r="L15" s="301" t="s">
        <v>424</v>
      </c>
      <c r="M15" s="301"/>
      <c r="N15" s="301"/>
      <c r="O15" s="301"/>
      <c r="P15" s="301"/>
      <c r="Q15" s="301"/>
      <c r="R15" s="301"/>
      <c r="S15" s="301"/>
    </row>
    <row r="16" spans="1:19" x14ac:dyDescent="0.15">
      <c r="A16" s="433"/>
      <c r="B16" s="433" t="s">
        <v>425</v>
      </c>
      <c r="C16" s="433"/>
      <c r="D16" s="433"/>
      <c r="E16" s="89" t="s">
        <v>426</v>
      </c>
      <c r="F16" s="433"/>
      <c r="G16" s="433"/>
      <c r="H16" s="433"/>
      <c r="I16" s="434" t="s">
        <v>427</v>
      </c>
      <c r="J16" s="383">
        <f>1+$J$15</f>
        <v>1.04</v>
      </c>
      <c r="K16" s="301"/>
      <c r="L16" s="301"/>
      <c r="M16" s="301"/>
      <c r="N16" s="301"/>
      <c r="O16" s="301"/>
      <c r="P16" s="301"/>
      <c r="Q16" s="301"/>
      <c r="R16" s="301"/>
      <c r="S16" s="301"/>
    </row>
    <row r="17" spans="1:12" ht="14" thickBot="1" x14ac:dyDescent="0.2">
      <c r="A17" s="299"/>
      <c r="B17" s="91"/>
      <c r="C17" s="435"/>
      <c r="D17" s="435"/>
      <c r="E17" s="435"/>
      <c r="F17" s="435"/>
      <c r="G17" s="435"/>
      <c r="H17" s="435"/>
      <c r="I17" s="435"/>
      <c r="J17" s="435"/>
      <c r="K17" s="301"/>
      <c r="L17" s="301"/>
    </row>
    <row r="18" spans="1:12" ht="14" thickTop="1" x14ac:dyDescent="0.15">
      <c r="A18" s="299"/>
      <c r="B18" s="92" t="s">
        <v>428</v>
      </c>
      <c r="C18" s="436"/>
      <c r="D18" s="436"/>
      <c r="E18" s="93" t="s">
        <v>429</v>
      </c>
      <c r="F18" s="437"/>
      <c r="G18" s="437"/>
      <c r="H18" s="437"/>
      <c r="I18" s="437"/>
      <c r="J18" s="93"/>
      <c r="K18" s="301"/>
      <c r="L18" s="37" t="s">
        <v>412</v>
      </c>
    </row>
    <row r="19" spans="1:12" x14ac:dyDescent="0.15">
      <c r="A19" s="70" t="s">
        <v>207</v>
      </c>
      <c r="B19" s="94">
        <f>Data!E11</f>
        <v>2022</v>
      </c>
      <c r="C19" s="94">
        <f>Data!F11</f>
        <v>2023</v>
      </c>
      <c r="D19" s="94">
        <f>Data!G11</f>
        <v>2024</v>
      </c>
      <c r="E19" s="94" t="s">
        <v>430</v>
      </c>
      <c r="F19" s="94" t="s">
        <v>431</v>
      </c>
      <c r="G19" s="94" t="s">
        <v>432</v>
      </c>
      <c r="H19" s="94" t="s">
        <v>433</v>
      </c>
      <c r="I19" s="94" t="s">
        <v>434</v>
      </c>
      <c r="J19" s="94" t="s">
        <v>435</v>
      </c>
      <c r="K19" s="301"/>
      <c r="L19" s="301" t="s">
        <v>413</v>
      </c>
    </row>
    <row r="20" spans="1:12" x14ac:dyDescent="0.15">
      <c r="A20" s="35" t="s">
        <v>436</v>
      </c>
      <c r="B20" s="301"/>
      <c r="C20" s="301"/>
      <c r="D20" s="301"/>
      <c r="E20" s="301"/>
      <c r="F20" s="301"/>
      <c r="G20" s="301"/>
      <c r="H20" s="301"/>
      <c r="I20" s="301"/>
      <c r="J20" s="301"/>
      <c r="K20" s="301"/>
      <c r="L20" s="301"/>
    </row>
    <row r="21" spans="1:12" x14ac:dyDescent="0.15">
      <c r="A21" s="70" t="str">
        <f>Data!A65</f>
        <v>Net sales</v>
      </c>
      <c r="B21" s="8">
        <f>Data!E65</f>
        <v>38260.6</v>
      </c>
      <c r="C21" s="8">
        <f>Data!F65</f>
        <v>41182.5</v>
      </c>
      <c r="D21" s="8">
        <f>Data!G65</f>
        <v>43486.8</v>
      </c>
      <c r="E21" s="252">
        <f>D21*(1+E22)</f>
        <v>46965.744000000006</v>
      </c>
      <c r="F21" s="252">
        <f>E21*(1+F22)</f>
        <v>50723.003520000013</v>
      </c>
      <c r="G21" s="252">
        <f>F21*(1+G22)</f>
        <v>54780.843801600015</v>
      </c>
      <c r="H21" s="252">
        <f>G21*(1+H22)</f>
        <v>59163.311305728021</v>
      </c>
      <c r="I21" s="252">
        <f>H21*(1+I22)</f>
        <v>63896.376210186267</v>
      </c>
      <c r="J21" s="96">
        <f>I21*$J$16</f>
        <v>66452.231258593718</v>
      </c>
      <c r="K21" s="301"/>
      <c r="L21" s="37" t="s">
        <v>437</v>
      </c>
    </row>
    <row r="22" spans="1:12" x14ac:dyDescent="0.15">
      <c r="A22" s="63" t="s">
        <v>438</v>
      </c>
      <c r="B22" s="438">
        <f>B21/B$21</f>
        <v>1</v>
      </c>
      <c r="C22" s="438">
        <f>C21/C$21</f>
        <v>1</v>
      </c>
      <c r="D22" s="438">
        <f>D21/D$21</f>
        <v>1</v>
      </c>
      <c r="E22" s="97">
        <v>0.08</v>
      </c>
      <c r="F22" s="97">
        <f>E22</f>
        <v>0.08</v>
      </c>
      <c r="G22" s="97">
        <f>F22</f>
        <v>0.08</v>
      </c>
      <c r="H22" s="97">
        <f>G22</f>
        <v>0.08</v>
      </c>
      <c r="I22" s="97">
        <f>H22</f>
        <v>0.08</v>
      </c>
      <c r="J22" s="98"/>
      <c r="K22" s="301"/>
      <c r="L22" s="301" t="s">
        <v>439</v>
      </c>
    </row>
    <row r="23" spans="1:12" ht="14" x14ac:dyDescent="0.15">
      <c r="A23" s="63" t="s">
        <v>440</v>
      </c>
      <c r="B23" s="438"/>
      <c r="C23" s="438">
        <f>IF(ISERROR(C21/B21-1),"",C21/B21-1)</f>
        <v>7.63683789590337E-2</v>
      </c>
      <c r="D23" s="438">
        <f>IF(ISERROR(D21/C21-1),"",D21/C21-1)</f>
        <v>5.595337825532698E-2</v>
      </c>
      <c r="E23" s="331" t="s">
        <v>441</v>
      </c>
      <c r="F23" s="439"/>
      <c r="G23" s="439"/>
      <c r="H23" s="439"/>
      <c r="I23" s="439"/>
      <c r="J23" s="98"/>
      <c r="K23" s="301"/>
      <c r="L23" s="301"/>
    </row>
    <row r="24" spans="1:12" x14ac:dyDescent="0.15">
      <c r="A24" s="70" t="str">
        <f>Data!A66</f>
        <v>&lt;Cost of goods sold&gt;</v>
      </c>
      <c r="B24" s="8">
        <f>Data!E66</f>
        <v>-10577.4</v>
      </c>
      <c r="C24" s="8">
        <f>Data!F66</f>
        <v>-10767</v>
      </c>
      <c r="D24" s="8">
        <f>Data!G66</f>
        <v>-11227</v>
      </c>
      <c r="E24" s="252">
        <f>E$21*E25</f>
        <v>-12680.750880000003</v>
      </c>
      <c r="F24" s="252">
        <f>F$21*F25</f>
        <v>-13695.210950400004</v>
      </c>
      <c r="G24" s="252">
        <f>G$21*G25</f>
        <v>-14790.827826432005</v>
      </c>
      <c r="H24" s="252">
        <f>H$21*H25</f>
        <v>-15974.094052546567</v>
      </c>
      <c r="I24" s="252">
        <f>I$21*I25</f>
        <v>-17252.021576750292</v>
      </c>
      <c r="J24" s="96">
        <f>I24*$J$16</f>
        <v>-17942.102439820304</v>
      </c>
      <c r="K24" s="301"/>
      <c r="L24" s="301"/>
    </row>
    <row r="25" spans="1:12" x14ac:dyDescent="0.15">
      <c r="A25" s="63" t="s">
        <v>438</v>
      </c>
      <c r="B25" s="438">
        <f>B24/B$21</f>
        <v>-0.27645672049053072</v>
      </c>
      <c r="C25" s="438">
        <f>C24/C$21</f>
        <v>-0.26144600254962669</v>
      </c>
      <c r="D25" s="438">
        <f>D24/D$21</f>
        <v>-0.25817029535399244</v>
      </c>
      <c r="E25" s="97">
        <v>-0.27</v>
      </c>
      <c r="F25" s="97">
        <f>E25</f>
        <v>-0.27</v>
      </c>
      <c r="G25" s="97">
        <f>F25</f>
        <v>-0.27</v>
      </c>
      <c r="H25" s="97">
        <f>G25</f>
        <v>-0.27</v>
      </c>
      <c r="I25" s="97">
        <f>H25</f>
        <v>-0.27</v>
      </c>
      <c r="J25" s="98"/>
      <c r="K25" s="301"/>
      <c r="L25" s="301"/>
    </row>
    <row r="26" spans="1:12" x14ac:dyDescent="0.15">
      <c r="A26" s="63" t="s">
        <v>440</v>
      </c>
      <c r="B26" s="438"/>
      <c r="C26" s="438">
        <f>IF(ISERROR(C24/B24-1),"",C24/B24-1)</f>
        <v>1.7925009926825108E-2</v>
      </c>
      <c r="D26" s="438">
        <f>IF(ISERROR(D24/C24-1),"",D24/C24-1)</f>
        <v>4.2723135506640642E-2</v>
      </c>
      <c r="E26" s="99" t="s">
        <v>442</v>
      </c>
      <c r="F26" s="439"/>
      <c r="G26" s="439"/>
      <c r="H26" s="439"/>
      <c r="I26" s="439"/>
      <c r="J26" s="98"/>
      <c r="K26" s="301"/>
      <c r="L26" s="301"/>
    </row>
    <row r="27" spans="1:12" x14ac:dyDescent="0.15">
      <c r="A27" s="70" t="str">
        <f>Data!A67</f>
        <v xml:space="preserve">  Gross Profit</v>
      </c>
      <c r="B27" s="100">
        <f>B21+B24</f>
        <v>27683.199999999997</v>
      </c>
      <c r="C27" s="100">
        <f t="shared" ref="C27:J27" si="0">C21+C24</f>
        <v>30415.5</v>
      </c>
      <c r="D27" s="100">
        <f t="shared" si="0"/>
        <v>32259.800000000003</v>
      </c>
      <c r="E27" s="101">
        <f t="shared" si="0"/>
        <v>34284.993119999999</v>
      </c>
      <c r="F27" s="101">
        <f t="shared" si="0"/>
        <v>37027.792569600009</v>
      </c>
      <c r="G27" s="101">
        <f t="shared" si="0"/>
        <v>39990.015975168011</v>
      </c>
      <c r="H27" s="101">
        <f t="shared" si="0"/>
        <v>43189.217253181458</v>
      </c>
      <c r="I27" s="101">
        <f t="shared" si="0"/>
        <v>46644.354633435971</v>
      </c>
      <c r="J27" s="101">
        <f t="shared" si="0"/>
        <v>48510.128818773417</v>
      </c>
      <c r="K27" s="301"/>
      <c r="L27" s="301"/>
    </row>
    <row r="28" spans="1:12" x14ac:dyDescent="0.15">
      <c r="A28" s="63" t="s">
        <v>438</v>
      </c>
      <c r="B28" s="438">
        <f>B27/B$21</f>
        <v>0.72354327950946917</v>
      </c>
      <c r="C28" s="438">
        <f>C27/C$21</f>
        <v>0.73855399745037331</v>
      </c>
      <c r="D28" s="438">
        <f>D27/D$21</f>
        <v>0.7418297046460075</v>
      </c>
      <c r="E28" s="438">
        <f t="shared" ref="E28:J28" si="1">E27/E$21</f>
        <v>0.72999999999999987</v>
      </c>
      <c r="F28" s="438">
        <f t="shared" si="1"/>
        <v>0.73</v>
      </c>
      <c r="G28" s="438">
        <f t="shared" si="1"/>
        <v>0.73</v>
      </c>
      <c r="H28" s="438">
        <f t="shared" si="1"/>
        <v>0.73000000000000009</v>
      </c>
      <c r="I28" s="438">
        <f t="shared" si="1"/>
        <v>0.73</v>
      </c>
      <c r="J28" s="438">
        <f t="shared" si="1"/>
        <v>0.73000000000000009</v>
      </c>
      <c r="K28" s="301"/>
      <c r="L28" s="301"/>
    </row>
    <row r="29" spans="1:12" x14ac:dyDescent="0.15">
      <c r="A29" s="63" t="s">
        <v>440</v>
      </c>
      <c r="B29" s="438"/>
      <c r="C29" s="438">
        <f t="shared" ref="C29:I29" si="2">IF(ISERROR(C27/B27-1),"",C27/B27-1)</f>
        <v>9.8698849843948722E-2</v>
      </c>
      <c r="D29" s="438">
        <f t="shared" si="2"/>
        <v>6.0636846344791495E-2</v>
      </c>
      <c r="E29" s="438">
        <f t="shared" si="2"/>
        <v>6.2777609284620395E-2</v>
      </c>
      <c r="F29" s="438">
        <f t="shared" si="2"/>
        <v>8.0000000000000293E-2</v>
      </c>
      <c r="G29" s="438">
        <f t="shared" si="2"/>
        <v>8.0000000000000071E-2</v>
      </c>
      <c r="H29" s="438">
        <f t="shared" si="2"/>
        <v>8.0000000000000071E-2</v>
      </c>
      <c r="I29" s="438">
        <f t="shared" si="2"/>
        <v>7.9999999999999849E-2</v>
      </c>
      <c r="J29" s="438"/>
      <c r="K29" s="301"/>
      <c r="L29" s="301"/>
    </row>
    <row r="30" spans="1:12" x14ac:dyDescent="0.15">
      <c r="A30" s="399"/>
      <c r="B30" s="438"/>
      <c r="C30" s="438"/>
      <c r="D30" s="438"/>
      <c r="E30" s="440"/>
      <c r="F30" s="440"/>
      <c r="G30" s="440"/>
      <c r="H30" s="440"/>
      <c r="I30" s="440"/>
      <c r="J30" s="441"/>
      <c r="K30" s="301"/>
      <c r="L30" s="301"/>
    </row>
    <row r="31" spans="1:12" x14ac:dyDescent="0.15">
      <c r="A31" s="70" t="str">
        <f>Data!A68</f>
        <v>&lt;Operating, selling, general and administrative expenses&gt;</v>
      </c>
      <c r="B31" s="8">
        <f>Data!E68</f>
        <v>-7028.8</v>
      </c>
      <c r="C31" s="8">
        <f>Data!F68</f>
        <v>-7626.7</v>
      </c>
      <c r="D31" s="8">
        <f>Data!G68</f>
        <v>-8208.7000000000007</v>
      </c>
      <c r="E31" s="252">
        <f>E$21*E32</f>
        <v>-8923.4913600000018</v>
      </c>
      <c r="F31" s="252">
        <f>F$21*F32</f>
        <v>-9637.370668800002</v>
      </c>
      <c r="G31" s="252">
        <f>G$21*G32</f>
        <v>-10408.360322304003</v>
      </c>
      <c r="H31" s="252">
        <f>H$21*H32</f>
        <v>-11241.029148088324</v>
      </c>
      <c r="I31" s="252">
        <f>I$21*I32</f>
        <v>-12140.311479935392</v>
      </c>
      <c r="J31" s="96">
        <f>I31*$J$16</f>
        <v>-12625.923939132808</v>
      </c>
      <c r="K31" s="301"/>
      <c r="L31" s="301"/>
    </row>
    <row r="32" spans="1:12" x14ac:dyDescent="0.15">
      <c r="A32" s="63" t="s">
        <v>438</v>
      </c>
      <c r="B32" s="438">
        <f>B31/B$21</f>
        <v>-0.18370856703763142</v>
      </c>
      <c r="C32" s="438">
        <f>C31/C$21</f>
        <v>-0.18519273963455352</v>
      </c>
      <c r="D32" s="438">
        <f>D31/D$21</f>
        <v>-0.1887630269415087</v>
      </c>
      <c r="E32" s="97">
        <v>-0.19</v>
      </c>
      <c r="F32" s="97">
        <f>E32</f>
        <v>-0.19</v>
      </c>
      <c r="G32" s="97">
        <f>F32</f>
        <v>-0.19</v>
      </c>
      <c r="H32" s="97">
        <f>G32</f>
        <v>-0.19</v>
      </c>
      <c r="I32" s="97">
        <f>H32</f>
        <v>-0.19</v>
      </c>
      <c r="J32" s="98"/>
      <c r="K32" s="301"/>
      <c r="L32" s="301"/>
    </row>
    <row r="33" spans="1:10" x14ac:dyDescent="0.15">
      <c r="A33" s="63" t="s">
        <v>440</v>
      </c>
      <c r="B33" s="438"/>
      <c r="C33" s="438">
        <f>IF(ISERROR(C31/B31-1),"",C31/B31-1)</f>
        <v>8.5064306851809546E-2</v>
      </c>
      <c r="D33" s="438">
        <f>IF(ISERROR(D31/C31-1),"",D31/C31-1)</f>
        <v>7.6310855284723589E-2</v>
      </c>
      <c r="E33" s="99" t="s">
        <v>443</v>
      </c>
      <c r="F33" s="99"/>
      <c r="G33" s="99"/>
      <c r="H33" s="99"/>
      <c r="I33" s="99"/>
      <c r="J33" s="98"/>
    </row>
    <row r="34" spans="1:10" x14ac:dyDescent="0.15">
      <c r="A34" s="102" t="str">
        <f>Data!A69</f>
        <v>&lt;Research and development expenses&gt;</v>
      </c>
      <c r="B34" s="8">
        <f>Data!E69</f>
        <v>-1138.5999999999999</v>
      </c>
      <c r="C34" s="8">
        <f>Data!F69</f>
        <v>-1288.9000000000001</v>
      </c>
      <c r="D34" s="8">
        <f>Data!G69</f>
        <v>-1354.7</v>
      </c>
      <c r="E34" s="252">
        <f>E$21*E35</f>
        <v>-1408.9723200000001</v>
      </c>
      <c r="F34" s="252">
        <f>F$21*F35</f>
        <v>-1521.6901056000004</v>
      </c>
      <c r="G34" s="252">
        <f>G$21*G35</f>
        <v>-1643.4253140480005</v>
      </c>
      <c r="H34" s="252">
        <f>H$21*H35</f>
        <v>-1774.8993391718407</v>
      </c>
      <c r="I34" s="252">
        <f>I$21*I35</f>
        <v>-1916.891286305588</v>
      </c>
      <c r="J34" s="96">
        <f>I34*$J$16</f>
        <v>-1993.5669377578115</v>
      </c>
    </row>
    <row r="35" spans="1:10" x14ac:dyDescent="0.15">
      <c r="A35" s="63" t="s">
        <v>438</v>
      </c>
      <c r="B35" s="438">
        <f>B34/B$21</f>
        <v>-2.9759073302561903E-2</v>
      </c>
      <c r="C35" s="438">
        <f>C34/C$21</f>
        <v>-3.1297274327687731E-2</v>
      </c>
      <c r="D35" s="438">
        <f>D34/D$21</f>
        <v>-3.1151981750784145E-2</v>
      </c>
      <c r="E35" s="97">
        <v>-0.03</v>
      </c>
      <c r="F35" s="97">
        <f>E35</f>
        <v>-0.03</v>
      </c>
      <c r="G35" s="97">
        <f>F35</f>
        <v>-0.03</v>
      </c>
      <c r="H35" s="97">
        <f>G35</f>
        <v>-0.03</v>
      </c>
      <c r="I35" s="97">
        <f>H35</f>
        <v>-0.03</v>
      </c>
      <c r="J35" s="98"/>
    </row>
    <row r="36" spans="1:10" x14ac:dyDescent="0.15">
      <c r="A36" s="63" t="s">
        <v>440</v>
      </c>
      <c r="B36" s="438"/>
      <c r="C36" s="438">
        <f>IF(ISERROR(C34/B34-1),"",C34/B34-1)</f>
        <v>0.13200421570349574</v>
      </c>
      <c r="D36" s="438">
        <f>IF(ISERROR(D34/C34-1),"",D34/C34-1)</f>
        <v>5.1051284040654732E-2</v>
      </c>
      <c r="E36" s="99" t="s">
        <v>444</v>
      </c>
      <c r="F36" s="99"/>
      <c r="G36" s="99"/>
      <c r="H36" s="99"/>
      <c r="I36" s="99"/>
      <c r="J36" s="103"/>
    </row>
    <row r="37" spans="1:10" x14ac:dyDescent="0.15">
      <c r="A37" s="102" t="str">
        <f>Data!A70</f>
        <v xml:space="preserve"> advertising expenses</v>
      </c>
      <c r="B37" s="8">
        <f>Data!E70</f>
        <v>-12059</v>
      </c>
      <c r="C37" s="8">
        <f>Data!F70</f>
        <v>-13356.6</v>
      </c>
      <c r="D37" s="8">
        <f>Data!G70</f>
        <v>-14008.9</v>
      </c>
      <c r="E37" s="252">
        <f>E$21*E38</f>
        <v>-15029.038080000002</v>
      </c>
      <c r="F37" s="252">
        <f>F$21*F38</f>
        <v>-16231.361126400005</v>
      </c>
      <c r="G37" s="252">
        <f>G$21*G38</f>
        <v>-17529.870016512006</v>
      </c>
      <c r="H37" s="252">
        <f>H$21*H38</f>
        <v>-18932.259617832966</v>
      </c>
      <c r="I37" s="252">
        <f>I$21*I38</f>
        <v>-20446.840387259606</v>
      </c>
      <c r="J37" s="96">
        <f>I37*$J$16</f>
        <v>-21264.714002749992</v>
      </c>
    </row>
    <row r="38" spans="1:10" x14ac:dyDescent="0.15">
      <c r="A38" s="63" t="s">
        <v>438</v>
      </c>
      <c r="B38" s="438">
        <f>B37/B$21</f>
        <v>-0.31518062968170912</v>
      </c>
      <c r="C38" s="438">
        <f>C37/C$21</f>
        <v>-0.32432708067747223</v>
      </c>
      <c r="D38" s="438">
        <f>D37/D$21</f>
        <v>-0.3221414314228685</v>
      </c>
      <c r="E38" s="97">
        <v>-0.32</v>
      </c>
      <c r="F38" s="97">
        <f>E38</f>
        <v>-0.32</v>
      </c>
      <c r="G38" s="97">
        <f>F38</f>
        <v>-0.32</v>
      </c>
      <c r="H38" s="97">
        <f>G38</f>
        <v>-0.32</v>
      </c>
      <c r="I38" s="97">
        <f>H38</f>
        <v>-0.32</v>
      </c>
      <c r="J38" s="98"/>
    </row>
    <row r="39" spans="1:10" x14ac:dyDescent="0.15">
      <c r="A39" s="63" t="s">
        <v>440</v>
      </c>
      <c r="B39" s="438"/>
      <c r="C39" s="438">
        <f>IF(ISERROR(C37/B37-1),"",C37/B37-1)</f>
        <v>0.10760427896177127</v>
      </c>
      <c r="D39" s="438">
        <f>IF(ISERROR(D37/C37-1),"",D37/C37-1)</f>
        <v>4.8837278948235197E-2</v>
      </c>
      <c r="E39" s="99" t="s">
        <v>444</v>
      </c>
      <c r="F39" s="99"/>
      <c r="G39" s="99"/>
      <c r="H39" s="99"/>
      <c r="I39" s="99"/>
      <c r="J39" s="103"/>
    </row>
    <row r="40" spans="1:10" ht="14" x14ac:dyDescent="0.15">
      <c r="A40" s="302" t="str">
        <f>Data!A71</f>
        <v>Add back: Imputed interest expense on operating lease obligations</v>
      </c>
      <c r="B40" s="8">
        <f>Data!E71</f>
        <v>0</v>
      </c>
      <c r="C40" s="8">
        <f>Data!F71</f>
        <v>0</v>
      </c>
      <c r="D40" s="8">
        <f>Data!G71</f>
        <v>0</v>
      </c>
      <c r="E40" s="252">
        <f>((D196+E196+D214+E214)/2)*-E41</f>
        <v>0</v>
      </c>
      <c r="F40" s="252">
        <f>((E196+F196+E214+F214)/2)*-F41</f>
        <v>0</v>
      </c>
      <c r="G40" s="252">
        <f>((F196+G196+F214+G214)/2)*-G41</f>
        <v>0</v>
      </c>
      <c r="H40" s="252">
        <f>((G196+H196+G214+H214)/2)*-H41</f>
        <v>0</v>
      </c>
      <c r="I40" s="252">
        <f>((H196+I196+H214+I214)/2)*-I41</f>
        <v>0</v>
      </c>
      <c r="J40" s="96">
        <f>I40*$J$16</f>
        <v>0</v>
      </c>
    </row>
    <row r="41" spans="1:10" x14ac:dyDescent="0.15">
      <c r="A41" s="63" t="s">
        <v>438</v>
      </c>
      <c r="B41" s="438">
        <f>B40/B$21</f>
        <v>0</v>
      </c>
      <c r="C41" s="438">
        <f>C40/C$21</f>
        <v>0</v>
      </c>
      <c r="D41" s="438">
        <f>D40/D$21</f>
        <v>0</v>
      </c>
      <c r="E41" s="106">
        <v>0</v>
      </c>
      <c r="F41" s="106">
        <f>E41</f>
        <v>0</v>
      </c>
      <c r="G41" s="106">
        <f>F41</f>
        <v>0</v>
      </c>
      <c r="H41" s="106">
        <f>G41</f>
        <v>0</v>
      </c>
      <c r="I41" s="106">
        <f>H41</f>
        <v>0</v>
      </c>
      <c r="J41" s="98"/>
    </row>
    <row r="42" spans="1:10" x14ac:dyDescent="0.15">
      <c r="A42" s="63" t="s">
        <v>440</v>
      </c>
      <c r="B42" s="438"/>
      <c r="C42" s="438" t="str">
        <f>IF(ISERROR(C40/B40-1),"",C40/B40-1)</f>
        <v/>
      </c>
      <c r="D42" s="438" t="str">
        <f>IF(ISERROR(D40/C40-1),"",D40/C40-1)</f>
        <v/>
      </c>
      <c r="E42" s="99" t="s">
        <v>445</v>
      </c>
      <c r="F42" s="99"/>
      <c r="G42" s="99"/>
      <c r="H42" s="99"/>
      <c r="I42" s="99"/>
      <c r="J42" s="103"/>
    </row>
    <row r="43" spans="1:10" x14ac:dyDescent="0.15">
      <c r="A43" s="102" t="str">
        <f>Data!A75</f>
        <v>Other operating income (2)</v>
      </c>
      <c r="B43" s="8">
        <f>Data!E75</f>
        <v>0</v>
      </c>
      <c r="C43" s="8">
        <f>Data!F75</f>
        <v>0</v>
      </c>
      <c r="D43" s="8">
        <f>Data!G75</f>
        <v>0</v>
      </c>
      <c r="E43" s="252">
        <f>E$21*E44</f>
        <v>0</v>
      </c>
      <c r="F43" s="252">
        <f>F$21*F44</f>
        <v>0</v>
      </c>
      <c r="G43" s="252">
        <f>G$21*G44</f>
        <v>0</v>
      </c>
      <c r="H43" s="252">
        <f>H$21*H44</f>
        <v>0</v>
      </c>
      <c r="I43" s="252">
        <f>I$21*I44</f>
        <v>0</v>
      </c>
      <c r="J43" s="96">
        <f>I43*$J$16</f>
        <v>0</v>
      </c>
    </row>
    <row r="44" spans="1:10" x14ac:dyDescent="0.15">
      <c r="A44" s="63" t="s">
        <v>438</v>
      </c>
      <c r="B44" s="438">
        <f>B43/B$21</f>
        <v>0</v>
      </c>
      <c r="C44" s="438">
        <f>C43/C$21</f>
        <v>0</v>
      </c>
      <c r="D44" s="438">
        <f>D43/D$21</f>
        <v>0</v>
      </c>
      <c r="E44" s="97">
        <f>D44</f>
        <v>0</v>
      </c>
      <c r="F44" s="97">
        <f>E44</f>
        <v>0</v>
      </c>
      <c r="G44" s="97">
        <f>F44</f>
        <v>0</v>
      </c>
      <c r="H44" s="97">
        <f>G44</f>
        <v>0</v>
      </c>
      <c r="I44" s="97">
        <f>H44</f>
        <v>0</v>
      </c>
      <c r="J44" s="98"/>
    </row>
    <row r="45" spans="1:10" x14ac:dyDescent="0.15">
      <c r="A45" s="63" t="s">
        <v>440</v>
      </c>
      <c r="B45" s="438"/>
      <c r="C45" s="438" t="str">
        <f>IF(ISERROR(C43/B43-1),"",C43/B43-1)</f>
        <v/>
      </c>
      <c r="D45" s="438" t="str">
        <f>IF(ISERROR(D43/C43-1),"",D43/C43-1)</f>
        <v/>
      </c>
      <c r="E45" s="99" t="s">
        <v>444</v>
      </c>
      <c r="F45" s="99"/>
      <c r="G45" s="99"/>
      <c r="H45" s="99"/>
      <c r="I45" s="99"/>
      <c r="J45" s="103"/>
    </row>
    <row r="46" spans="1:10" x14ac:dyDescent="0.15">
      <c r="A46" s="102" t="str">
        <f>Data!A72</f>
        <v>&lt;Other operating expenses (1)&gt;</v>
      </c>
      <c r="B46" s="8">
        <f>Data!E72</f>
        <v>-241.5</v>
      </c>
      <c r="C46" s="8">
        <f>Data!F72</f>
        <v>-449.9</v>
      </c>
      <c r="D46" s="8">
        <f>Data!G72</f>
        <v>-437.7</v>
      </c>
      <c r="E46" s="252">
        <f>E$21*E47</f>
        <v>-469.65744000000007</v>
      </c>
      <c r="F46" s="252">
        <f>F$21*F47</f>
        <v>-507.23003520000015</v>
      </c>
      <c r="G46" s="252">
        <f>G$21*G47</f>
        <v>-547.8084380160002</v>
      </c>
      <c r="H46" s="252">
        <f>H$21*H47</f>
        <v>-591.63311305728018</v>
      </c>
      <c r="I46" s="252">
        <f>I$21*I47</f>
        <v>-638.9637621018627</v>
      </c>
      <c r="J46" s="96">
        <f>I46*$J$16</f>
        <v>-664.52231258593724</v>
      </c>
    </row>
    <row r="47" spans="1:10" x14ac:dyDescent="0.15">
      <c r="A47" s="63" t="s">
        <v>438</v>
      </c>
      <c r="B47" s="438">
        <f>B46/B$21</f>
        <v>-6.311976288923854E-3</v>
      </c>
      <c r="C47" s="438">
        <f>C46/C$21</f>
        <v>-1.0924543191889758E-2</v>
      </c>
      <c r="D47" s="438">
        <f>D46/D$21</f>
        <v>-1.0065123209801593E-2</v>
      </c>
      <c r="E47" s="97">
        <v>-0.01</v>
      </c>
      <c r="F47" s="97">
        <f>E47</f>
        <v>-0.01</v>
      </c>
      <c r="G47" s="97">
        <f>F47</f>
        <v>-0.01</v>
      </c>
      <c r="H47" s="97">
        <f>G47</f>
        <v>-0.01</v>
      </c>
      <c r="I47" s="97">
        <f>H47</f>
        <v>-0.01</v>
      </c>
      <c r="J47" s="98"/>
    </row>
    <row r="48" spans="1:10" x14ac:dyDescent="0.15">
      <c r="A48" s="63" t="s">
        <v>440</v>
      </c>
      <c r="B48" s="438"/>
      <c r="C48" s="438">
        <f>IF(ISERROR(C46/B46-1),"",C46/B46-1)</f>
        <v>0.86293995859213246</v>
      </c>
      <c r="D48" s="438">
        <f>IF(ISERROR(D46/C46-1),"",D46/C46-1)</f>
        <v>-2.7117137141587033E-2</v>
      </c>
      <c r="E48" s="99" t="s">
        <v>444</v>
      </c>
      <c r="F48" s="99"/>
      <c r="G48" s="99"/>
      <c r="H48" s="99"/>
      <c r="I48" s="99"/>
      <c r="J48" s="103"/>
    </row>
    <row r="49" spans="1:12" x14ac:dyDescent="0.15">
      <c r="A49" s="102" t="str">
        <f>Data!A73</f>
        <v>&lt;Other operating expenses (2)&gt;</v>
      </c>
      <c r="B49" s="8">
        <f>Data!E73</f>
        <v>0</v>
      </c>
      <c r="C49" s="8">
        <f>Data!F73</f>
        <v>0</v>
      </c>
      <c r="D49" s="8">
        <f>Data!G73</f>
        <v>0</v>
      </c>
      <c r="E49" s="252">
        <f>E$21*E50</f>
        <v>0</v>
      </c>
      <c r="F49" s="252">
        <f>F$21*F50</f>
        <v>0</v>
      </c>
      <c r="G49" s="252">
        <f>G$21*G50</f>
        <v>0</v>
      </c>
      <c r="H49" s="252">
        <f>H$21*H50</f>
        <v>0</v>
      </c>
      <c r="I49" s="252">
        <f>I$21*I50</f>
        <v>0</v>
      </c>
      <c r="J49" s="96">
        <f>I49*$J$16</f>
        <v>0</v>
      </c>
      <c r="K49" s="301"/>
      <c r="L49" s="301"/>
    </row>
    <row r="50" spans="1:12" x14ac:dyDescent="0.15">
      <c r="A50" s="63" t="s">
        <v>438</v>
      </c>
      <c r="B50" s="438">
        <f>B49/B$21</f>
        <v>0</v>
      </c>
      <c r="C50" s="438">
        <f>C49/C$21</f>
        <v>0</v>
      </c>
      <c r="D50" s="438">
        <f>D49/D$21</f>
        <v>0</v>
      </c>
      <c r="E50" s="97">
        <v>0</v>
      </c>
      <c r="F50" s="97">
        <f>E50</f>
        <v>0</v>
      </c>
      <c r="G50" s="97">
        <f>F50</f>
        <v>0</v>
      </c>
      <c r="H50" s="97">
        <f>G50</f>
        <v>0</v>
      </c>
      <c r="I50" s="97">
        <f>H50</f>
        <v>0</v>
      </c>
      <c r="J50" s="98"/>
      <c r="K50" s="301"/>
      <c r="L50" s="301"/>
    </row>
    <row r="51" spans="1:12" x14ac:dyDescent="0.15">
      <c r="A51" s="63" t="s">
        <v>440</v>
      </c>
      <c r="B51" s="438"/>
      <c r="C51" s="438" t="str">
        <f>IF(ISERROR(C49/B49-1),"",C49/B49-1)</f>
        <v/>
      </c>
      <c r="D51" s="438" t="str">
        <f>IF(ISERROR(D49/C49-1),"",D49/C49-1)</f>
        <v/>
      </c>
      <c r="E51" s="99" t="s">
        <v>444</v>
      </c>
      <c r="F51" s="99"/>
      <c r="G51" s="99"/>
      <c r="H51" s="99"/>
      <c r="I51" s="99"/>
      <c r="J51" s="103"/>
      <c r="K51" s="301"/>
      <c r="L51" s="301"/>
    </row>
    <row r="52" spans="1:12" x14ac:dyDescent="0.15">
      <c r="A52" s="102" t="str">
        <f>Data!A74</f>
        <v>Other operating income (1)</v>
      </c>
      <c r="B52" s="8">
        <f>Data!E74</f>
        <v>0</v>
      </c>
      <c r="C52" s="8">
        <f>Data!F74</f>
        <v>0</v>
      </c>
      <c r="D52" s="8">
        <f>Data!G74</f>
        <v>0</v>
      </c>
      <c r="E52" s="252">
        <f>E$21*E53</f>
        <v>0</v>
      </c>
      <c r="F52" s="252">
        <f>F$21*F53</f>
        <v>0</v>
      </c>
      <c r="G52" s="252">
        <f>G$21*G53</f>
        <v>0</v>
      </c>
      <c r="H52" s="252">
        <f>H$21*H53</f>
        <v>0</v>
      </c>
      <c r="I52" s="252">
        <f>I$21*I53</f>
        <v>0</v>
      </c>
      <c r="J52" s="96">
        <f>I52*$J$16</f>
        <v>0</v>
      </c>
      <c r="K52" s="301"/>
      <c r="L52" s="301"/>
    </row>
    <row r="53" spans="1:12" x14ac:dyDescent="0.15">
      <c r="A53" s="63" t="s">
        <v>438</v>
      </c>
      <c r="B53" s="438">
        <f>B52/B$21</f>
        <v>0</v>
      </c>
      <c r="C53" s="438">
        <f>C52/C$21</f>
        <v>0</v>
      </c>
      <c r="D53" s="438">
        <f>D52/D$21</f>
        <v>0</v>
      </c>
      <c r="E53" s="97">
        <v>0</v>
      </c>
      <c r="F53" s="97">
        <f>E53</f>
        <v>0</v>
      </c>
      <c r="G53" s="97">
        <f>F53</f>
        <v>0</v>
      </c>
      <c r="H53" s="97">
        <f>G53</f>
        <v>0</v>
      </c>
      <c r="I53" s="97">
        <f>H53</f>
        <v>0</v>
      </c>
      <c r="J53" s="98"/>
      <c r="K53" s="301"/>
      <c r="L53" s="301"/>
    </row>
    <row r="54" spans="1:12" x14ac:dyDescent="0.15">
      <c r="A54" s="63" t="s">
        <v>440</v>
      </c>
      <c r="B54" s="438"/>
      <c r="C54" s="438" t="str">
        <f>IF(ISERROR(C52/B52-1),"",C52/B52-1)</f>
        <v/>
      </c>
      <c r="D54" s="438" t="str">
        <f>IF(ISERROR(D52/C52-1),"",D52/C52-1)</f>
        <v/>
      </c>
      <c r="E54" s="99" t="s">
        <v>444</v>
      </c>
      <c r="F54" s="99"/>
      <c r="G54" s="99"/>
      <c r="H54" s="99"/>
      <c r="I54" s="99"/>
      <c r="J54" s="103"/>
      <c r="K54" s="301"/>
      <c r="L54" s="301"/>
    </row>
    <row r="55" spans="1:12" x14ac:dyDescent="0.15">
      <c r="A55" s="102" t="str">
        <f>Data!A75</f>
        <v>Other operating income (2)</v>
      </c>
      <c r="B55" s="8">
        <f>Data!E75</f>
        <v>0</v>
      </c>
      <c r="C55" s="8">
        <f>Data!F75</f>
        <v>0</v>
      </c>
      <c r="D55" s="8">
        <f>Data!G75</f>
        <v>0</v>
      </c>
      <c r="E55" s="252">
        <f>E$21*E56</f>
        <v>0</v>
      </c>
      <c r="F55" s="252">
        <f>F$21*F56</f>
        <v>0</v>
      </c>
      <c r="G55" s="252">
        <f>G$21*G56</f>
        <v>0</v>
      </c>
      <c r="H55" s="252">
        <f>H$21*H56</f>
        <v>0</v>
      </c>
      <c r="I55" s="252">
        <f>I$21*I56</f>
        <v>0</v>
      </c>
      <c r="J55" s="96">
        <f>I55*$J$16</f>
        <v>0</v>
      </c>
      <c r="K55" s="301"/>
      <c r="L55" s="301"/>
    </row>
    <row r="56" spans="1:12" x14ac:dyDescent="0.15">
      <c r="A56" s="63" t="s">
        <v>438</v>
      </c>
      <c r="B56" s="438">
        <f>B55/B$21</f>
        <v>0</v>
      </c>
      <c r="C56" s="438">
        <f>C55/C$21</f>
        <v>0</v>
      </c>
      <c r="D56" s="438">
        <f>D55/D$21</f>
        <v>0</v>
      </c>
      <c r="E56" s="97">
        <v>0</v>
      </c>
      <c r="F56" s="97">
        <f>E56</f>
        <v>0</v>
      </c>
      <c r="G56" s="97">
        <f>F56</f>
        <v>0</v>
      </c>
      <c r="H56" s="97">
        <f>G56</f>
        <v>0</v>
      </c>
      <c r="I56" s="97">
        <f>H56</f>
        <v>0</v>
      </c>
      <c r="J56" s="98"/>
      <c r="K56" s="301"/>
      <c r="L56" s="301"/>
    </row>
    <row r="57" spans="1:12" x14ac:dyDescent="0.15">
      <c r="A57" s="63" t="s">
        <v>440</v>
      </c>
      <c r="B57" s="438"/>
      <c r="C57" s="438" t="str">
        <f>IF(ISERROR(C55/B55-1),"",C55/B55-1)</f>
        <v/>
      </c>
      <c r="D57" s="438" t="str">
        <f>IF(ISERROR(D55/C55-1),"",D55/C55-1)</f>
        <v/>
      </c>
      <c r="E57" s="99" t="s">
        <v>444</v>
      </c>
      <c r="F57" s="99"/>
      <c r="G57" s="99"/>
      <c r="H57" s="99"/>
      <c r="I57" s="99"/>
      <c r="J57" s="103"/>
      <c r="K57" s="301"/>
      <c r="L57" s="301"/>
    </row>
    <row r="58" spans="1:12" x14ac:dyDescent="0.15">
      <c r="A58" s="102" t="str">
        <f>Data!A76</f>
        <v>Non-recurring operating gains &lt;losses&gt;</v>
      </c>
      <c r="B58" s="8">
        <f>Data!E76</f>
        <v>0</v>
      </c>
      <c r="C58" s="8">
        <f>Data!F76</f>
        <v>0</v>
      </c>
      <c r="D58" s="8">
        <f>Data!G76</f>
        <v>0</v>
      </c>
      <c r="E58" s="252">
        <v>0</v>
      </c>
      <c r="F58" s="252">
        <v>0</v>
      </c>
      <c r="G58" s="252">
        <v>0</v>
      </c>
      <c r="H58" s="252">
        <v>0</v>
      </c>
      <c r="I58" s="252">
        <v>0</v>
      </c>
      <c r="J58" s="96">
        <f>I58*$J$16</f>
        <v>0</v>
      </c>
      <c r="K58" s="301"/>
      <c r="L58" s="301"/>
    </row>
    <row r="59" spans="1:12" x14ac:dyDescent="0.15">
      <c r="A59" s="63" t="s">
        <v>438</v>
      </c>
      <c r="B59" s="438">
        <f>B58/B$21</f>
        <v>0</v>
      </c>
      <c r="C59" s="438">
        <f>C58/C$21</f>
        <v>0</v>
      </c>
      <c r="D59" s="438">
        <f>D58/D$21</f>
        <v>0</v>
      </c>
      <c r="E59" s="97">
        <v>0</v>
      </c>
      <c r="F59" s="97">
        <f>E59</f>
        <v>0</v>
      </c>
      <c r="G59" s="97">
        <f>F59</f>
        <v>0</v>
      </c>
      <c r="H59" s="97">
        <f>G59</f>
        <v>0</v>
      </c>
      <c r="I59" s="97">
        <f>H59</f>
        <v>0</v>
      </c>
      <c r="J59" s="105"/>
      <c r="K59" s="301"/>
      <c r="L59" s="301"/>
    </row>
    <row r="60" spans="1:12" x14ac:dyDescent="0.15">
      <c r="A60" s="63" t="s">
        <v>440</v>
      </c>
      <c r="B60" s="438"/>
      <c r="C60" s="438" t="str">
        <f>IF(ISERROR(C58/B58-1),"",C58/B58-1)</f>
        <v/>
      </c>
      <c r="D60" s="438" t="str">
        <f>IF(ISERROR(D58/C58-1),"",D58/C58-1)</f>
        <v/>
      </c>
      <c r="E60" s="99" t="s">
        <v>446</v>
      </c>
      <c r="F60" s="99"/>
      <c r="G60" s="99"/>
      <c r="H60" s="99"/>
      <c r="I60" s="99"/>
      <c r="J60" s="103"/>
      <c r="K60" s="301"/>
      <c r="L60" s="301"/>
    </row>
    <row r="61" spans="1:12" x14ac:dyDescent="0.15">
      <c r="A61" s="70" t="str">
        <f>Data!A77</f>
        <v xml:space="preserve">  Operating Profit</v>
      </c>
      <c r="B61" s="100">
        <f t="shared" ref="B61:J61" si="3">B27+B31+B34+B37+B40+B46+B49+B52+B55+B58</f>
        <v>7215.2999999999993</v>
      </c>
      <c r="C61" s="100">
        <f t="shared" si="3"/>
        <v>7693.3999999999978</v>
      </c>
      <c r="D61" s="100">
        <f t="shared" si="3"/>
        <v>8249.8000000000011</v>
      </c>
      <c r="E61" s="100">
        <f>E27+E31+E34+E37+E40+E46+E49+E52+E55+E58</f>
        <v>8453.8339199999955</v>
      </c>
      <c r="F61" s="100">
        <f t="shared" si="3"/>
        <v>9130.1406336000036</v>
      </c>
      <c r="G61" s="100">
        <f t="shared" si="3"/>
        <v>9860.551884288001</v>
      </c>
      <c r="H61" s="100">
        <f t="shared" si="3"/>
        <v>10649.396035031048</v>
      </c>
      <c r="I61" s="100">
        <f t="shared" si="3"/>
        <v>11501.34771783352</v>
      </c>
      <c r="J61" s="100">
        <f t="shared" si="3"/>
        <v>11961.401626546871</v>
      </c>
      <c r="K61" s="301"/>
      <c r="L61" s="301"/>
    </row>
    <row r="62" spans="1:12" x14ac:dyDescent="0.15">
      <c r="A62" s="63" t="s">
        <v>438</v>
      </c>
      <c r="B62" s="438">
        <f t="shared" ref="B62:J62" si="4">B61/B$21</f>
        <v>0.18858303319864297</v>
      </c>
      <c r="C62" s="438">
        <f t="shared" si="4"/>
        <v>0.18681235961877005</v>
      </c>
      <c r="D62" s="438">
        <f t="shared" si="4"/>
        <v>0.18970814132104455</v>
      </c>
      <c r="E62" s="438">
        <f t="shared" si="4"/>
        <v>0.17999999999999988</v>
      </c>
      <c r="F62" s="438">
        <f t="shared" si="4"/>
        <v>0.18000000000000002</v>
      </c>
      <c r="G62" s="438">
        <f t="shared" si="4"/>
        <v>0.17999999999999997</v>
      </c>
      <c r="H62" s="438">
        <f t="shared" si="4"/>
        <v>0.18000000000000008</v>
      </c>
      <c r="I62" s="438">
        <f t="shared" si="4"/>
        <v>0.17999999999999988</v>
      </c>
      <c r="J62" s="438">
        <f t="shared" si="4"/>
        <v>0.18000000000000002</v>
      </c>
      <c r="K62" s="301"/>
      <c r="L62" s="442"/>
    </row>
    <row r="63" spans="1:12" x14ac:dyDescent="0.15">
      <c r="A63" s="63" t="s">
        <v>440</v>
      </c>
      <c r="B63" s="438"/>
      <c r="C63" s="438">
        <f t="shared" ref="C63:I63" si="5">IF(ISERROR(C61/B61-1),"",C61/B61-1)</f>
        <v>6.6261971089212945E-2</v>
      </c>
      <c r="D63" s="438">
        <f t="shared" si="5"/>
        <v>7.2321730314295785E-2</v>
      </c>
      <c r="E63" s="438">
        <f t="shared" si="5"/>
        <v>2.4731983805667435E-2</v>
      </c>
      <c r="F63" s="438">
        <f t="shared" si="5"/>
        <v>8.0000000000000959E-2</v>
      </c>
      <c r="G63" s="438">
        <f t="shared" si="5"/>
        <v>7.9999999999999627E-2</v>
      </c>
      <c r="H63" s="438">
        <f t="shared" si="5"/>
        <v>8.0000000000000737E-2</v>
      </c>
      <c r="I63" s="438">
        <f t="shared" si="5"/>
        <v>7.9999999999998961E-2</v>
      </c>
      <c r="J63" s="438"/>
      <c r="K63" s="301"/>
      <c r="L63" s="301"/>
    </row>
    <row r="64" spans="1:12" x14ac:dyDescent="0.15">
      <c r="A64" s="70"/>
      <c r="B64" s="438"/>
      <c r="C64" s="441">
        <f>C68/((C190+B190+C193+B193+C211+B211)/2)</f>
        <v>-4.1716504425592986E-2</v>
      </c>
      <c r="D64" s="441">
        <f>D68/((D190+C190+D193+C193+D211+C211)/2)</f>
        <v>-5.5704738035565096E-2</v>
      </c>
      <c r="E64" s="443"/>
      <c r="F64" s="443"/>
      <c r="G64" s="443"/>
      <c r="H64" s="443"/>
      <c r="I64" s="443"/>
      <c r="J64" s="441"/>
      <c r="K64" s="301"/>
      <c r="L64" s="301"/>
    </row>
    <row r="65" spans="1:10" x14ac:dyDescent="0.15">
      <c r="A65" s="70" t="str">
        <f>Data!A78</f>
        <v>Interest income</v>
      </c>
      <c r="B65" s="8">
        <f>Data!E78</f>
        <v>0</v>
      </c>
      <c r="C65" s="8">
        <f>Data!F78</f>
        <v>0</v>
      </c>
      <c r="D65" s="8">
        <f>Data!G78</f>
        <v>0</v>
      </c>
      <c r="E65" s="252">
        <f>E66*((D127+E127)/2)</f>
        <v>0</v>
      </c>
      <c r="F65" s="252">
        <f>F66*((E127+F127)/2)</f>
        <v>0</v>
      </c>
      <c r="G65" s="252">
        <f>G66*((F127+G127)/2)</f>
        <v>0</v>
      </c>
      <c r="H65" s="252">
        <f>H66*((G127+H127)/2)</f>
        <v>0</v>
      </c>
      <c r="I65" s="252">
        <f>I66*((H127+I127)/2)</f>
        <v>0</v>
      </c>
      <c r="J65" s="96">
        <f>I65*$J$16</f>
        <v>0</v>
      </c>
    </row>
    <row r="66" spans="1:10" x14ac:dyDescent="0.15">
      <c r="A66" s="63" t="s">
        <v>438</v>
      </c>
      <c r="B66" s="438">
        <f>B65/B$21</f>
        <v>0</v>
      </c>
      <c r="C66" s="438">
        <f>C65/C$21</f>
        <v>0</v>
      </c>
      <c r="D66" s="438">
        <f>D65/D$21</f>
        <v>0</v>
      </c>
      <c r="E66" s="97">
        <v>0</v>
      </c>
      <c r="F66" s="97">
        <f>E66</f>
        <v>0</v>
      </c>
      <c r="G66" s="97">
        <f>F66</f>
        <v>0</v>
      </c>
      <c r="H66" s="97">
        <f>G66</f>
        <v>0</v>
      </c>
      <c r="I66" s="97">
        <f>H66</f>
        <v>0</v>
      </c>
      <c r="J66" s="98"/>
    </row>
    <row r="67" spans="1:10" x14ac:dyDescent="0.15">
      <c r="A67" s="63" t="s">
        <v>440</v>
      </c>
      <c r="B67" s="438"/>
      <c r="C67" s="438" t="str">
        <f>IF(ISERROR(C65/B65-1),"",C65/B65-1)</f>
        <v/>
      </c>
      <c r="D67" s="438" t="str">
        <f>IF(ISERROR(D65/C65-1),"",D65/C65-1)</f>
        <v/>
      </c>
      <c r="E67" s="99" t="s">
        <v>447</v>
      </c>
      <c r="F67" s="99"/>
      <c r="G67" s="99"/>
      <c r="H67" s="99"/>
      <c r="I67" s="99"/>
      <c r="J67" s="103"/>
    </row>
    <row r="68" spans="1:10" x14ac:dyDescent="0.15">
      <c r="A68" s="70" t="str">
        <f>Data!A79</f>
        <v>&lt;Interest expense on debt&gt; -interest expense</v>
      </c>
      <c r="B68" s="8">
        <f>Data!E79</f>
        <v>-70.400000000000006</v>
      </c>
      <c r="C68" s="8">
        <f>Data!F79</f>
        <v>-226.7</v>
      </c>
      <c r="D68" s="8">
        <f>Data!G79</f>
        <v>-373.4</v>
      </c>
      <c r="E68" s="252">
        <f>E69*((D190+E190+D193+E193+D211+E211)/2)</f>
        <v>-26.666892000000001</v>
      </c>
      <c r="F68" s="252">
        <f>F69*((E190+F190+E193+F193+E211+F211)/2)</f>
        <v>-27.466898760000003</v>
      </c>
      <c r="G68" s="252">
        <f>G69*((F190+G190+F193+G193+F211+G211)/2)</f>
        <v>-28.290905722800002</v>
      </c>
      <c r="H68" s="252">
        <f>H69*((G190+H190+G193+H193+G211+H211)/2)</f>
        <v>-29.139632894484006</v>
      </c>
      <c r="I68" s="252">
        <f>I69*((H190+I190+H193+I193+H211+I211)/2)</f>
        <v>-30.013821881318524</v>
      </c>
      <c r="J68" s="96">
        <f>I68*$J$16</f>
        <v>-31.214374756571267</v>
      </c>
    </row>
    <row r="69" spans="1:10" x14ac:dyDescent="0.15">
      <c r="A69" s="63" t="s">
        <v>438</v>
      </c>
      <c r="B69" s="438">
        <f>B68/B$21</f>
        <v>-1.8400129637276992E-3</v>
      </c>
      <c r="C69" s="438">
        <f>C68/C$21</f>
        <v>-5.5047653736417165E-3</v>
      </c>
      <c r="D69" s="438">
        <f>D68/D$21</f>
        <v>-8.5865136087272444E-3</v>
      </c>
      <c r="E69" s="97">
        <v>-4.0000000000000001E-3</v>
      </c>
      <c r="F69" s="97">
        <f>E69</f>
        <v>-4.0000000000000001E-3</v>
      </c>
      <c r="G69" s="97">
        <f>F69</f>
        <v>-4.0000000000000001E-3</v>
      </c>
      <c r="H69" s="97">
        <f>G69</f>
        <v>-4.0000000000000001E-3</v>
      </c>
      <c r="I69" s="97">
        <f>H69</f>
        <v>-4.0000000000000001E-3</v>
      </c>
      <c r="J69" s="98"/>
    </row>
    <row r="70" spans="1:10" x14ac:dyDescent="0.15">
      <c r="A70" s="63" t="s">
        <v>440</v>
      </c>
      <c r="B70" s="438"/>
      <c r="C70" s="438">
        <f>IF(ISERROR(C68/B68-1),"",C68/B68-1)</f>
        <v>2.2201704545454541</v>
      </c>
      <c r="D70" s="438">
        <f>IF(ISERROR(D68/C68-1),"",D68/C68-1)</f>
        <v>0.64711071901191008</v>
      </c>
      <c r="E70" s="99" t="s">
        <v>448</v>
      </c>
      <c r="F70" s="99"/>
      <c r="G70" s="99"/>
      <c r="H70" s="99"/>
      <c r="I70" s="99"/>
      <c r="J70" s="103"/>
    </row>
    <row r="71" spans="1:10" x14ac:dyDescent="0.15">
      <c r="A71" s="102" t="str">
        <f>Data!A80</f>
        <v>&lt;Interest on finance leases&gt;</v>
      </c>
      <c r="B71" s="8">
        <f>Data!E80</f>
        <v>468.2</v>
      </c>
      <c r="C71" s="8">
        <f>Data!F80</f>
        <v>420.9</v>
      </c>
      <c r="D71" s="8">
        <f>Data!G80</f>
        <v>444.5</v>
      </c>
      <c r="E71" s="252">
        <f>((D199+E199+D217+E217)/2)*E72</f>
        <v>-24.867669514516901</v>
      </c>
      <c r="F71" s="252">
        <f>((E199+F199+E217+F217)/2)*F72</f>
        <v>-32.310608543550693</v>
      </c>
      <c r="G71" s="252">
        <f>((F199+G199+F217+G217)/2)*G72</f>
        <v>-39.753547572584488</v>
      </c>
      <c r="H71" s="252">
        <f>((G199+H199+G217+H217)/2)*H72</f>
        <v>-47.196486601618275</v>
      </c>
      <c r="I71" s="252">
        <f>((H199+I199+H217+I217)/2)*I72</f>
        <v>-54.63942563065207</v>
      </c>
      <c r="J71" s="96">
        <f>I71*$J$16</f>
        <v>-56.825002655878158</v>
      </c>
    </row>
    <row r="72" spans="1:10" x14ac:dyDescent="0.15">
      <c r="A72" s="63" t="s">
        <v>438</v>
      </c>
      <c r="B72" s="438">
        <f>B71/B$21</f>
        <v>1.2237131670700407E-2</v>
      </c>
      <c r="C72" s="438">
        <f>C71/C$21</f>
        <v>1.0220360590056455E-2</v>
      </c>
      <c r="D72" s="438">
        <f>D71/D$21</f>
        <v>1.0221492498873221E-2</v>
      </c>
      <c r="E72" s="106">
        <v>-1.15E-2</v>
      </c>
      <c r="F72" s="106">
        <f>E72</f>
        <v>-1.15E-2</v>
      </c>
      <c r="G72" s="106">
        <f>F72</f>
        <v>-1.15E-2</v>
      </c>
      <c r="H72" s="106">
        <f>G72</f>
        <v>-1.15E-2</v>
      </c>
      <c r="I72" s="106">
        <f>H72</f>
        <v>-1.15E-2</v>
      </c>
      <c r="J72" s="105"/>
    </row>
    <row r="73" spans="1:10" x14ac:dyDescent="0.15">
      <c r="A73" s="63" t="s">
        <v>440</v>
      </c>
      <c r="B73" s="438"/>
      <c r="C73" s="438">
        <f>IF(ISERROR(C71/B71-1),"",C71/B71-1)</f>
        <v>-0.1010252029047416</v>
      </c>
      <c r="D73" s="438">
        <f>IF(ISERROR(D71/C71-1),"",D71/C71-1)</f>
        <v>5.6070325492991291E-2</v>
      </c>
      <c r="E73" s="99" t="s">
        <v>449</v>
      </c>
      <c r="F73" s="99"/>
      <c r="G73" s="99"/>
      <c r="H73" s="99"/>
      <c r="I73" s="99"/>
      <c r="J73" s="103"/>
    </row>
    <row r="74" spans="1:10" ht="14" x14ac:dyDescent="0.15">
      <c r="A74" s="302" t="str">
        <f>Data!A81</f>
        <v>Subtract: Imputed interest expense on operating lease obligations</v>
      </c>
      <c r="B74" s="8">
        <f>Data!E81</f>
        <v>-72.3</v>
      </c>
      <c r="C74" s="8">
        <f>Data!F81</f>
        <v>-48.8</v>
      </c>
      <c r="D74" s="8">
        <f>Data!G81</f>
        <v>-36.700000000000003</v>
      </c>
      <c r="E74" s="252">
        <f>((D196+E196+D214+E214)/2)*E75</f>
        <v>-2.7187893098524514</v>
      </c>
      <c r="F74" s="252">
        <f>((E196+F196+E214+F214)/2)*F75</f>
        <v>-3.5325279295573537</v>
      </c>
      <c r="G74" s="252">
        <f>((F196+G196+F214+G214)/2)*G75</f>
        <v>-4.3462665492622561</v>
      </c>
      <c r="H74" s="252">
        <f>((G196+H196+G214+H214)/2)*H75</f>
        <v>-5.1600051689671584</v>
      </c>
      <c r="I74" s="252">
        <f>((H196+I196+H214+I214)/2)*I75</f>
        <v>-5.9737437886720617</v>
      </c>
      <c r="J74" s="96">
        <f>I74*$J$16</f>
        <v>-6.212693540218944</v>
      </c>
    </row>
    <row r="75" spans="1:10" x14ac:dyDescent="0.15">
      <c r="A75" s="63" t="s">
        <v>438</v>
      </c>
      <c r="B75" s="438">
        <f>B74/B$21</f>
        <v>-1.8896724045101227E-3</v>
      </c>
      <c r="C75" s="438">
        <f>C74/C$21</f>
        <v>-1.1849693437746614E-3</v>
      </c>
      <c r="D75" s="438">
        <f>D74/D$21</f>
        <v>-8.4393425131304217E-4</v>
      </c>
      <c r="E75" s="106">
        <v>-1.1999999999999999E-3</v>
      </c>
      <c r="F75" s="106">
        <f>E75</f>
        <v>-1.1999999999999999E-3</v>
      </c>
      <c r="G75" s="106">
        <f>F75</f>
        <v>-1.1999999999999999E-3</v>
      </c>
      <c r="H75" s="106">
        <f>G75</f>
        <v>-1.1999999999999999E-3</v>
      </c>
      <c r="I75" s="106">
        <f>H75</f>
        <v>-1.1999999999999999E-3</v>
      </c>
      <c r="J75" s="105"/>
    </row>
    <row r="76" spans="1:10" x14ac:dyDescent="0.15">
      <c r="A76" s="63" t="s">
        <v>440</v>
      </c>
      <c r="B76" s="438"/>
      <c r="C76" s="438">
        <f>IF(ISERROR(C74/B74-1),"",C74/B74-1)</f>
        <v>-0.32503457814661141</v>
      </c>
      <c r="D76" s="438">
        <f>IF(ISERROR(D74/C74-1),"",D74/C74-1)</f>
        <v>-0.24795081967213106</v>
      </c>
      <c r="E76" s="99" t="s">
        <v>445</v>
      </c>
      <c r="F76" s="99"/>
      <c r="G76" s="99"/>
      <c r="H76" s="99"/>
      <c r="I76" s="99"/>
      <c r="J76" s="103"/>
    </row>
    <row r="77" spans="1:10" x14ac:dyDescent="0.15">
      <c r="A77" s="102" t="str">
        <f>Data!A82</f>
        <v>Other income or gains &lt;Other expenses or losses&gt;</v>
      </c>
      <c r="B77" s="8">
        <f>Data!E82</f>
        <v>69.8</v>
      </c>
      <c r="C77" s="8">
        <f>Data!F82</f>
        <v>162.1</v>
      </c>
      <c r="D77" s="8">
        <f>Data!G82</f>
        <v>148.69999999999999</v>
      </c>
      <c r="E77" s="95">
        <v>0</v>
      </c>
      <c r="F77" s="95">
        <v>0</v>
      </c>
      <c r="G77" s="95">
        <v>0</v>
      </c>
      <c r="H77" s="95">
        <v>0</v>
      </c>
      <c r="I77" s="95">
        <v>0</v>
      </c>
      <c r="J77" s="96">
        <f>I77*$J$16</f>
        <v>0</v>
      </c>
    </row>
    <row r="78" spans="1:10" x14ac:dyDescent="0.15">
      <c r="A78" s="63" t="s">
        <v>438</v>
      </c>
      <c r="B78" s="438">
        <f>B77/B$21</f>
        <v>1.8243310350595653E-3</v>
      </c>
      <c r="C78" s="438">
        <f>C77/C$21</f>
        <v>3.9361379226613242E-3</v>
      </c>
      <c r="D78" s="438">
        <f>D77/D$21</f>
        <v>3.4194284242574755E-3</v>
      </c>
      <c r="E78" s="104">
        <v>0.21</v>
      </c>
      <c r="F78" s="104">
        <f>E78</f>
        <v>0.21</v>
      </c>
      <c r="G78" s="104">
        <f>F78</f>
        <v>0.21</v>
      </c>
      <c r="H78" s="104">
        <f>G78</f>
        <v>0.21</v>
      </c>
      <c r="I78" s="104">
        <f>H78</f>
        <v>0.21</v>
      </c>
      <c r="J78" s="105"/>
    </row>
    <row r="79" spans="1:10" x14ac:dyDescent="0.15">
      <c r="A79" s="63" t="s">
        <v>440</v>
      </c>
      <c r="B79" s="438"/>
      <c r="C79" s="438">
        <f>IF(ISERROR(C77/B77-1),"",C77/B77-1)</f>
        <v>1.322349570200573</v>
      </c>
      <c r="D79" s="438">
        <f>IF(ISERROR(D77/C77-1),"",D77/C77-1)</f>
        <v>-8.2665021591610155E-2</v>
      </c>
      <c r="E79" s="99" t="s">
        <v>450</v>
      </c>
      <c r="F79" s="99"/>
      <c r="G79" s="99"/>
      <c r="H79" s="99"/>
      <c r="I79" s="99"/>
      <c r="J79" s="103"/>
    </row>
    <row r="80" spans="1:10" x14ac:dyDescent="0.15">
      <c r="A80" s="102" t="str">
        <f>Data!A83</f>
        <v xml:space="preserve">  Income before Tax</v>
      </c>
      <c r="B80" s="100">
        <f t="shared" ref="B80:J80" si="6">B61+B65+B68+B71+B74+B77</f>
        <v>7610.5999999999995</v>
      </c>
      <c r="C80" s="100">
        <f t="shared" si="6"/>
        <v>8000.8999999999978</v>
      </c>
      <c r="D80" s="100">
        <f t="shared" si="6"/>
        <v>8432.9000000000015</v>
      </c>
      <c r="E80" s="100">
        <f t="shared" si="6"/>
        <v>8399.5805691756268</v>
      </c>
      <c r="F80" s="100">
        <f>F61+F65+F68+F71+F74+F77</f>
        <v>9066.8305983668961</v>
      </c>
      <c r="G80" s="100">
        <f t="shared" si="6"/>
        <v>9788.1611644433524</v>
      </c>
      <c r="H80" s="100">
        <f t="shared" si="6"/>
        <v>10567.899910365977</v>
      </c>
      <c r="I80" s="100">
        <f t="shared" si="6"/>
        <v>11410.720726532876</v>
      </c>
      <c r="J80" s="100">
        <f t="shared" si="6"/>
        <v>11867.149555594202</v>
      </c>
    </row>
    <row r="81" spans="1:17" x14ac:dyDescent="0.15">
      <c r="A81" s="63" t="s">
        <v>438</v>
      </c>
      <c r="B81" s="438">
        <f t="shared" ref="B81:J81" si="7">B80/B$21</f>
        <v>0.19891481053616514</v>
      </c>
      <c r="C81" s="438">
        <f t="shared" si="7"/>
        <v>0.19427912341407147</v>
      </c>
      <c r="D81" s="438">
        <f t="shared" si="7"/>
        <v>0.19391861438413496</v>
      </c>
      <c r="E81" s="438">
        <f>E80/E$21</f>
        <v>0.17884483144088223</v>
      </c>
      <c r="F81" s="438">
        <f t="shared" si="7"/>
        <v>0.17875184766595806</v>
      </c>
      <c r="G81" s="438">
        <f t="shared" si="7"/>
        <v>0.17867853952548032</v>
      </c>
      <c r="H81" s="438">
        <f t="shared" si="7"/>
        <v>0.17862252259269376</v>
      </c>
      <c r="I81" s="438">
        <f t="shared" si="7"/>
        <v>0.17858165679063653</v>
      </c>
      <c r="J81" s="438">
        <f t="shared" si="7"/>
        <v>0.17858165679063667</v>
      </c>
      <c r="K81" s="301"/>
      <c r="L81" s="301"/>
      <c r="M81" s="301"/>
      <c r="N81" s="301"/>
      <c r="O81" s="301"/>
      <c r="P81" s="301"/>
      <c r="Q81" s="301"/>
    </row>
    <row r="82" spans="1:17" x14ac:dyDescent="0.15">
      <c r="A82" s="63" t="s">
        <v>440</v>
      </c>
      <c r="B82" s="438"/>
      <c r="C82" s="438">
        <f t="shared" ref="C82:I82" si="8">IF(ISERROR(C80/B80-1),"",C80/B80-1)</f>
        <v>5.1283735842114764E-2</v>
      </c>
      <c r="D82" s="438">
        <f t="shared" si="8"/>
        <v>5.3993925683361033E-2</v>
      </c>
      <c r="E82" s="438">
        <f t="shared" si="8"/>
        <v>-3.9511236732766575E-3</v>
      </c>
      <c r="F82" s="438">
        <f t="shared" si="8"/>
        <v>7.9438493826692991E-2</v>
      </c>
      <c r="G82" s="438">
        <f t="shared" si="8"/>
        <v>7.9557079869384761E-2</v>
      </c>
      <c r="H82" s="438">
        <f t="shared" si="8"/>
        <v>7.966141268240623E-2</v>
      </c>
      <c r="I82" s="438">
        <f t="shared" si="8"/>
        <v>7.9752914326921553E-2</v>
      </c>
      <c r="J82" s="438"/>
      <c r="K82" s="301"/>
      <c r="L82" s="301"/>
      <c r="M82" s="301"/>
      <c r="N82" s="301"/>
      <c r="O82" s="301"/>
      <c r="P82" s="301"/>
      <c r="Q82" s="301"/>
    </row>
    <row r="83" spans="1:17" x14ac:dyDescent="0.15">
      <c r="A83" s="63"/>
      <c r="B83" s="438"/>
      <c r="C83" s="438"/>
      <c r="D83" s="438"/>
      <c r="E83" s="441"/>
      <c r="F83" s="441"/>
      <c r="G83" s="441"/>
      <c r="H83" s="441"/>
      <c r="I83" s="441"/>
      <c r="J83" s="441"/>
      <c r="K83" s="301"/>
      <c r="L83" s="301"/>
      <c r="M83" s="301"/>
      <c r="N83" s="301"/>
      <c r="O83" s="301"/>
      <c r="P83" s="301"/>
      <c r="Q83" s="301"/>
    </row>
    <row r="84" spans="1:17" x14ac:dyDescent="0.15">
      <c r="A84" s="70" t="str">
        <f>Data!A84</f>
        <v>&lt;Income tax expense&gt;</v>
      </c>
      <c r="B84" s="8">
        <f>Data!E84</f>
        <v>-1899.4</v>
      </c>
      <c r="C84" s="8">
        <f>Data!F84</f>
        <v>-1810.6</v>
      </c>
      <c r="D84" s="8">
        <f>Data!G84</f>
        <v>-2015.1</v>
      </c>
      <c r="E84" s="252">
        <f>E80*E85</f>
        <v>-2099.8951422939067</v>
      </c>
      <c r="F84" s="252">
        <f>F80*F85</f>
        <v>-2266.707649591724</v>
      </c>
      <c r="G84" s="252">
        <f>G80*G85</f>
        <v>-2447.0402911108381</v>
      </c>
      <c r="H84" s="252">
        <f>H80*H85</f>
        <v>-2641.9749775914943</v>
      </c>
      <c r="I84" s="252">
        <f>I80*I85</f>
        <v>-2852.680181633219</v>
      </c>
      <c r="J84" s="96">
        <f>I84*$J$16</f>
        <v>-2966.7873888985478</v>
      </c>
      <c r="K84" s="301"/>
      <c r="L84" s="301"/>
      <c r="M84" s="301"/>
      <c r="N84" s="301"/>
      <c r="O84" s="301"/>
      <c r="P84" s="301"/>
      <c r="Q84" s="301"/>
    </row>
    <row r="85" spans="1:17" x14ac:dyDescent="0.15">
      <c r="A85" s="63" t="s">
        <v>438</v>
      </c>
      <c r="B85" s="438">
        <f>B84/B$21</f>
        <v>-4.9643758853755562E-2</v>
      </c>
      <c r="C85" s="438">
        <f>C84/C$21</f>
        <v>-4.3965276513082012E-2</v>
      </c>
      <c r="D85" s="438">
        <f>D84/D$21</f>
        <v>-4.6338199177681498E-2</v>
      </c>
      <c r="E85" s="106">
        <v>-0.25</v>
      </c>
      <c r="F85" s="106">
        <f>E85</f>
        <v>-0.25</v>
      </c>
      <c r="G85" s="106">
        <f>F85</f>
        <v>-0.25</v>
      </c>
      <c r="H85" s="106">
        <f>G85</f>
        <v>-0.25</v>
      </c>
      <c r="I85" s="106">
        <f>H85</f>
        <v>-0.25</v>
      </c>
      <c r="J85" s="98"/>
      <c r="K85" s="301"/>
      <c r="L85" s="301"/>
      <c r="M85" s="301"/>
      <c r="N85" s="301"/>
      <c r="O85" s="301"/>
      <c r="P85" s="301"/>
      <c r="Q85" s="301"/>
    </row>
    <row r="86" spans="1:17" x14ac:dyDescent="0.15">
      <c r="A86" s="63" t="s">
        <v>440</v>
      </c>
      <c r="B86" s="438"/>
      <c r="C86" s="438">
        <f>IF(ISERROR(C84/B84-1),"",C84/B84-1)</f>
        <v>-4.6751605770243287E-2</v>
      </c>
      <c r="D86" s="438">
        <f>IF(ISERROR(D84/C84-1),"",D84/C84-1)</f>
        <v>0.11294598475643425</v>
      </c>
      <c r="E86" s="99" t="s">
        <v>451</v>
      </c>
      <c r="F86" s="99"/>
      <c r="G86" s="99"/>
      <c r="H86" s="99"/>
      <c r="I86" s="99"/>
      <c r="J86" s="107"/>
      <c r="K86" s="301"/>
      <c r="L86" s="301"/>
      <c r="M86" s="301"/>
      <c r="N86" s="301"/>
      <c r="O86" s="301"/>
      <c r="P86" s="301"/>
      <c r="Q86" s="301"/>
    </row>
    <row r="87" spans="1:17" x14ac:dyDescent="0.15">
      <c r="A87" s="70" t="str">
        <f>Data!A85</f>
        <v>Income &lt;Loss&gt; from discontinued operations</v>
      </c>
      <c r="B87" s="8">
        <f>Data!E85</f>
        <v>0</v>
      </c>
      <c r="C87" s="8">
        <f>Data!F85</f>
        <v>0</v>
      </c>
      <c r="D87" s="8">
        <f>Data!G85</f>
        <v>0</v>
      </c>
      <c r="E87" s="252">
        <v>0</v>
      </c>
      <c r="F87" s="252">
        <v>0</v>
      </c>
      <c r="G87" s="252">
        <v>0</v>
      </c>
      <c r="H87" s="252">
        <v>0</v>
      </c>
      <c r="I87" s="252">
        <v>0</v>
      </c>
      <c r="J87" s="96">
        <f>I87*$J$16</f>
        <v>0</v>
      </c>
      <c r="K87" s="301"/>
      <c r="L87" s="301"/>
      <c r="M87" s="301"/>
      <c r="N87" s="301"/>
      <c r="O87" s="301"/>
      <c r="P87" s="301"/>
      <c r="Q87" s="301"/>
    </row>
    <row r="88" spans="1:17" x14ac:dyDescent="0.15">
      <c r="A88" s="63" t="s">
        <v>438</v>
      </c>
      <c r="B88" s="438">
        <f>B87/B$21</f>
        <v>0</v>
      </c>
      <c r="C88" s="438">
        <f>C87/C$21</f>
        <v>0</v>
      </c>
      <c r="D88" s="438">
        <f>D87/D$21</f>
        <v>0</v>
      </c>
      <c r="E88" s="104">
        <v>0</v>
      </c>
      <c r="F88" s="104">
        <f>E88</f>
        <v>0</v>
      </c>
      <c r="G88" s="104">
        <f>F88</f>
        <v>0</v>
      </c>
      <c r="H88" s="104">
        <f>G88</f>
        <v>0</v>
      </c>
      <c r="I88" s="104">
        <f>H88</f>
        <v>0</v>
      </c>
      <c r="J88" s="105"/>
      <c r="K88" s="301"/>
      <c r="L88" s="301"/>
      <c r="M88" s="301"/>
      <c r="N88" s="301"/>
      <c r="O88" s="301"/>
      <c r="P88" s="301"/>
      <c r="Q88" s="301"/>
    </row>
    <row r="89" spans="1:17" x14ac:dyDescent="0.15">
      <c r="A89" s="63" t="s">
        <v>440</v>
      </c>
      <c r="B89" s="438"/>
      <c r="C89" s="438" t="str">
        <f>IF(ISERROR(C87/B87-1),"",C87/B87-1)</f>
        <v/>
      </c>
      <c r="D89" s="438" t="str">
        <f>IF(ISERROR(D87/C87-1),"",D87/C87-1)</f>
        <v/>
      </c>
      <c r="E89" s="99" t="s">
        <v>452</v>
      </c>
      <c r="F89" s="99"/>
      <c r="G89" s="99"/>
      <c r="H89" s="99"/>
      <c r="I89" s="99"/>
      <c r="J89" s="103"/>
      <c r="K89" s="301"/>
      <c r="L89" s="301"/>
      <c r="M89" s="301"/>
      <c r="N89" s="301"/>
      <c r="O89" s="301"/>
      <c r="P89" s="301"/>
      <c r="Q89" s="301"/>
    </row>
    <row r="90" spans="1:17" x14ac:dyDescent="0.15">
      <c r="A90" s="70" t="str">
        <f>Data!A86</f>
        <v>Extraordinary gains &lt;losses&gt;</v>
      </c>
      <c r="B90" s="8">
        <f>Data!E86</f>
        <v>1.4</v>
      </c>
      <c r="C90" s="8">
        <f>Data!F86</f>
        <v>0.2</v>
      </c>
      <c r="D90" s="8">
        <f>Data!G86</f>
        <v>-1.3</v>
      </c>
      <c r="E90" s="252">
        <v>0</v>
      </c>
      <c r="F90" s="252">
        <v>0</v>
      </c>
      <c r="G90" s="252">
        <v>0</v>
      </c>
      <c r="H90" s="252">
        <v>0</v>
      </c>
      <c r="I90" s="252">
        <v>0</v>
      </c>
      <c r="J90" s="96">
        <f>I90*$J$16</f>
        <v>0</v>
      </c>
      <c r="K90" s="301"/>
      <c r="L90" s="301"/>
      <c r="M90" s="301"/>
      <c r="N90" s="301"/>
      <c r="O90" s="301"/>
      <c r="P90" s="301"/>
      <c r="Q90" s="301"/>
    </row>
    <row r="91" spans="1:17" x14ac:dyDescent="0.15">
      <c r="A91" s="63" t="s">
        <v>438</v>
      </c>
      <c r="B91" s="438">
        <f>B90/B$21</f>
        <v>3.6591166892312195E-5</v>
      </c>
      <c r="C91" s="438">
        <f>C90/C$21</f>
        <v>4.8564317367814003E-6</v>
      </c>
      <c r="D91" s="438">
        <f>D90/D$21</f>
        <v>-2.9894128793105032E-5</v>
      </c>
      <c r="E91" s="104">
        <v>0</v>
      </c>
      <c r="F91" s="104">
        <f>E91</f>
        <v>0</v>
      </c>
      <c r="G91" s="104">
        <f>F91</f>
        <v>0</v>
      </c>
      <c r="H91" s="104">
        <f>G91</f>
        <v>0</v>
      </c>
      <c r="I91" s="104">
        <f>H91</f>
        <v>0</v>
      </c>
      <c r="J91" s="105"/>
      <c r="K91" s="301"/>
      <c r="L91" s="301"/>
      <c r="M91" s="301"/>
      <c r="N91" s="301"/>
      <c r="O91" s="301"/>
      <c r="P91" s="301"/>
      <c r="Q91" s="301"/>
    </row>
    <row r="92" spans="1:17" x14ac:dyDescent="0.15">
      <c r="A92" s="63" t="s">
        <v>440</v>
      </c>
      <c r="B92" s="438"/>
      <c r="C92" s="438">
        <f>IF(ISERROR(C90/B90-1),"",C90/B90-1)</f>
        <v>-0.8571428571428571</v>
      </c>
      <c r="D92" s="438">
        <f>IF(ISERROR(D90/C90-1),"",D90/C90-1)</f>
        <v>-7.5</v>
      </c>
      <c r="E92" s="99" t="s">
        <v>446</v>
      </c>
      <c r="F92" s="99"/>
      <c r="G92" s="99"/>
      <c r="H92" s="99"/>
      <c r="I92" s="99"/>
      <c r="J92" s="103"/>
      <c r="K92" s="301"/>
      <c r="L92" s="301"/>
      <c r="M92" s="301"/>
      <c r="N92" s="301"/>
      <c r="O92" s="301"/>
      <c r="P92" s="301"/>
      <c r="Q92" s="301"/>
    </row>
    <row r="93" spans="1:17" x14ac:dyDescent="0.15">
      <c r="A93" s="70" t="str">
        <f>Data!A87</f>
        <v>Changes in accounting principles</v>
      </c>
      <c r="B93" s="8">
        <f>Data!E87</f>
        <v>0</v>
      </c>
      <c r="C93" s="8">
        <f>Data!F87</f>
        <v>0</v>
      </c>
      <c r="D93" s="8">
        <f>Data!G87</f>
        <v>0</v>
      </c>
      <c r="E93" s="252">
        <v>0</v>
      </c>
      <c r="F93" s="252">
        <v>0</v>
      </c>
      <c r="G93" s="252">
        <v>0</v>
      </c>
      <c r="H93" s="252">
        <v>0</v>
      </c>
      <c r="I93" s="252">
        <v>0</v>
      </c>
      <c r="J93" s="96">
        <f>I93*$J$16</f>
        <v>0</v>
      </c>
      <c r="K93" s="301"/>
      <c r="L93" s="442"/>
      <c r="M93" s="442"/>
      <c r="N93" s="442"/>
      <c r="O93" s="301"/>
      <c r="P93" s="301"/>
      <c r="Q93" s="301"/>
    </row>
    <row r="94" spans="1:17" x14ac:dyDescent="0.15">
      <c r="A94" s="63" t="s">
        <v>438</v>
      </c>
      <c r="B94" s="438">
        <f>B93/B$21</f>
        <v>0</v>
      </c>
      <c r="C94" s="438">
        <f>C93/C$21</f>
        <v>0</v>
      </c>
      <c r="D94" s="438">
        <f>D93/D$21</f>
        <v>0</v>
      </c>
      <c r="E94" s="104">
        <v>0</v>
      </c>
      <c r="F94" s="104">
        <f>E94</f>
        <v>0</v>
      </c>
      <c r="G94" s="104">
        <f>F94</f>
        <v>0</v>
      </c>
      <c r="H94" s="104">
        <f>G94</f>
        <v>0</v>
      </c>
      <c r="I94" s="104">
        <f>H94</f>
        <v>0</v>
      </c>
      <c r="J94" s="105"/>
      <c r="K94" s="301"/>
      <c r="L94" s="301"/>
      <c r="M94" s="301"/>
      <c r="N94" s="301"/>
      <c r="O94" s="301"/>
      <c r="P94" s="301"/>
      <c r="Q94" s="301"/>
    </row>
    <row r="95" spans="1:17" x14ac:dyDescent="0.15">
      <c r="A95" s="63" t="s">
        <v>440</v>
      </c>
      <c r="B95" s="438"/>
      <c r="C95" s="438" t="str">
        <f>IF(ISERROR(C93/B93-1),"",C93/B93-1)</f>
        <v/>
      </c>
      <c r="D95" s="438" t="str">
        <f>IF(ISERROR(D93/C93-1),"",D93/C93-1)</f>
        <v/>
      </c>
      <c r="E95" s="99" t="s">
        <v>446</v>
      </c>
      <c r="F95" s="439"/>
      <c r="G95" s="439"/>
      <c r="H95" s="439"/>
      <c r="I95" s="439"/>
      <c r="J95" s="103"/>
      <c r="K95" s="301"/>
      <c r="L95" s="301"/>
      <c r="M95" s="301"/>
      <c r="N95" s="301"/>
      <c r="O95" s="442"/>
      <c r="P95" s="301"/>
      <c r="Q95" s="444"/>
    </row>
    <row r="96" spans="1:17" x14ac:dyDescent="0.15">
      <c r="A96" s="102" t="str">
        <f>Data!A88</f>
        <v xml:space="preserve">  Net Income </v>
      </c>
      <c r="B96" s="100">
        <f>B80+B84+B87+B90+B93</f>
        <v>5712.5999999999985</v>
      </c>
      <c r="C96" s="100">
        <f t="shared" ref="C96:J96" si="9">C80+C84+C87+C90+C93</f>
        <v>6190.4999999999973</v>
      </c>
      <c r="D96" s="100">
        <f>D80+D84+D87+D90+D93</f>
        <v>6416.5000000000009</v>
      </c>
      <c r="E96" s="100">
        <f t="shared" si="9"/>
        <v>6299.6854268817206</v>
      </c>
      <c r="F96" s="100">
        <f t="shared" si="9"/>
        <v>6800.1229487751716</v>
      </c>
      <c r="G96" s="100">
        <f t="shared" si="9"/>
        <v>7341.1208733325147</v>
      </c>
      <c r="H96" s="100">
        <f t="shared" si="9"/>
        <v>7925.9249327744828</v>
      </c>
      <c r="I96" s="100">
        <f t="shared" si="9"/>
        <v>8558.0405448996571</v>
      </c>
      <c r="J96" s="100">
        <f t="shared" si="9"/>
        <v>8900.3621666956533</v>
      </c>
      <c r="K96" s="301"/>
      <c r="L96" s="301"/>
      <c r="M96" s="301"/>
      <c r="N96" s="301"/>
      <c r="O96" s="442"/>
      <c r="P96" s="301"/>
      <c r="Q96" s="444"/>
    </row>
    <row r="97" spans="1:18" x14ac:dyDescent="0.15">
      <c r="A97" s="63" t="s">
        <v>438</v>
      </c>
      <c r="B97" s="438">
        <f t="shared" ref="B97:J97" si="10">B96/B$21</f>
        <v>0.14930764284930187</v>
      </c>
      <c r="C97" s="438">
        <f t="shared" si="10"/>
        <v>0.15031870333272621</v>
      </c>
      <c r="D97" s="438">
        <f>D96/D$21</f>
        <v>0.14755052107766037</v>
      </c>
      <c r="E97" s="438">
        <f t="shared" si="10"/>
        <v>0.13413362358066167</v>
      </c>
      <c r="F97" s="438">
        <f t="shared" si="10"/>
        <v>0.13406388574946854</v>
      </c>
      <c r="G97" s="438">
        <f t="shared" si="10"/>
        <v>0.13400890464411025</v>
      </c>
      <c r="H97" s="438">
        <f t="shared" si="10"/>
        <v>0.13396689194452033</v>
      </c>
      <c r="I97" s="438">
        <f t="shared" si="10"/>
        <v>0.1339362425929774</v>
      </c>
      <c r="J97" s="438">
        <f t="shared" si="10"/>
        <v>0.13393624259297754</v>
      </c>
      <c r="K97" s="301"/>
      <c r="L97" s="301"/>
      <c r="M97" s="301"/>
      <c r="N97" s="301"/>
      <c r="O97" s="442"/>
      <c r="P97" s="301"/>
      <c r="Q97" s="444"/>
      <c r="R97" s="301"/>
    </row>
    <row r="98" spans="1:18" x14ac:dyDescent="0.15">
      <c r="A98" s="63" t="s">
        <v>440</v>
      </c>
      <c r="B98" s="438"/>
      <c r="C98" s="438">
        <f>IF(ISERROR(C96/B96-1),"",C96/B96-1)</f>
        <v>8.3657178867765802E-2</v>
      </c>
      <c r="D98" s="438">
        <f>IF(ISERROR(D96/C96-1),"",D96/C96-1)</f>
        <v>3.6507551894031876E-2</v>
      </c>
      <c r="E98" s="438">
        <f t="shared" ref="E98:J98" si="11">IF(ISERROR(E96/D96-1),"",E96/D96-1)</f>
        <v>-1.8205341403924269E-2</v>
      </c>
      <c r="F98" s="438">
        <f t="shared" si="11"/>
        <v>7.9438493826692991E-2</v>
      </c>
      <c r="G98" s="438">
        <f t="shared" si="11"/>
        <v>7.9557079869384761E-2</v>
      </c>
      <c r="H98" s="438">
        <f t="shared" si="11"/>
        <v>7.966141268240623E-2</v>
      </c>
      <c r="I98" s="438">
        <f t="shared" si="11"/>
        <v>7.9752914326921553E-2</v>
      </c>
      <c r="J98" s="438">
        <f t="shared" si="11"/>
        <v>4.0000000000001146E-2</v>
      </c>
      <c r="K98" s="301"/>
      <c r="L98" s="301"/>
      <c r="M98" s="301"/>
      <c r="N98" s="301"/>
      <c r="O98" s="442"/>
      <c r="P98" s="301"/>
      <c r="Q98" s="444"/>
      <c r="R98" s="301"/>
    </row>
    <row r="99" spans="1:18" x14ac:dyDescent="0.15">
      <c r="A99" s="102" t="str">
        <f>Data!A89</f>
        <v>Net income attributable to noncontrolling interests</v>
      </c>
      <c r="B99" s="277">
        <f>Data!E89</f>
        <v>6</v>
      </c>
      <c r="C99" s="277">
        <f>Data!F89</f>
        <v>6.5</v>
      </c>
      <c r="D99" s="277">
        <f>Data!G89</f>
        <v>7.5</v>
      </c>
      <c r="E99" s="252">
        <f>-E100*(D250+E250)/2</f>
        <v>-0.22500000000000001</v>
      </c>
      <c r="F99" s="252">
        <f>-F100*(E250+F250)/2</f>
        <v>-0.22500000000000001</v>
      </c>
      <c r="G99" s="252">
        <f>-G100*(F250+G250)/2</f>
        <v>-0.22500000000000001</v>
      </c>
      <c r="H99" s="252">
        <f>-H100*(G250+H250)/2</f>
        <v>-0.22500000000000001</v>
      </c>
      <c r="I99" s="252">
        <f>-I100*(H250+I250)/2</f>
        <v>-0.22500000000000001</v>
      </c>
      <c r="J99" s="96">
        <f>I99*$J$16</f>
        <v>-0.23400000000000001</v>
      </c>
      <c r="K99" s="301"/>
      <c r="L99" s="301"/>
      <c r="M99" s="301"/>
      <c r="N99" s="301"/>
      <c r="O99" s="442"/>
      <c r="P99" s="301"/>
      <c r="Q99" s="444"/>
      <c r="R99" s="301"/>
    </row>
    <row r="100" spans="1:18" x14ac:dyDescent="0.15">
      <c r="A100" s="63" t="s">
        <v>438</v>
      </c>
      <c r="B100" s="438">
        <f>B99/B$21</f>
        <v>1.56819286681338E-4</v>
      </c>
      <c r="C100" s="438">
        <f>C99/C$21</f>
        <v>1.578340314453955E-4</v>
      </c>
      <c r="D100" s="438">
        <f>D99/D$21</f>
        <v>1.7246612765252904E-4</v>
      </c>
      <c r="E100" s="106">
        <v>0.05</v>
      </c>
      <c r="F100" s="106">
        <f>E100</f>
        <v>0.05</v>
      </c>
      <c r="G100" s="106">
        <f>F100</f>
        <v>0.05</v>
      </c>
      <c r="H100" s="106">
        <f>G100</f>
        <v>0.05</v>
      </c>
      <c r="I100" s="106">
        <f>H100</f>
        <v>0.05</v>
      </c>
      <c r="J100" s="105"/>
      <c r="K100" s="301"/>
      <c r="L100" s="301"/>
      <c r="M100" s="301"/>
      <c r="N100" s="301"/>
      <c r="O100" s="442"/>
      <c r="P100" s="301"/>
      <c r="Q100" s="444"/>
      <c r="R100" s="301"/>
    </row>
    <row r="101" spans="1:18" x14ac:dyDescent="0.15">
      <c r="A101" s="63" t="s">
        <v>440</v>
      </c>
      <c r="B101" s="438"/>
      <c r="C101" s="438">
        <f>IF(ISERROR(C99/B99-1),"",C99/B99-1)</f>
        <v>8.3333333333333259E-2</v>
      </c>
      <c r="D101" s="438">
        <f>IF(ISERROR(D99/C99-1),"",D99/C99-1)</f>
        <v>0.15384615384615374</v>
      </c>
      <c r="E101" s="99" t="s">
        <v>453</v>
      </c>
      <c r="F101" s="99"/>
      <c r="G101" s="99"/>
      <c r="H101" s="99"/>
      <c r="I101" s="99"/>
      <c r="J101" s="103"/>
      <c r="K101" s="301"/>
      <c r="L101" s="301"/>
      <c r="M101" s="301"/>
      <c r="N101" s="301"/>
      <c r="O101" s="301"/>
      <c r="P101" s="301"/>
      <c r="Q101" s="301"/>
      <c r="R101" s="301"/>
    </row>
    <row r="102" spans="1:18" x14ac:dyDescent="0.15">
      <c r="A102" s="102" t="str">
        <f>Data!A90</f>
        <v xml:space="preserve">  Net Income attributable to common shareholders</v>
      </c>
      <c r="B102" s="278">
        <f>B96+B99</f>
        <v>5718.5999999999985</v>
      </c>
      <c r="C102" s="278">
        <f t="shared" ref="C102:J102" si="12">C96+C99</f>
        <v>6196.9999999999973</v>
      </c>
      <c r="D102" s="278">
        <f t="shared" si="12"/>
        <v>6424.0000000000009</v>
      </c>
      <c r="E102" s="278">
        <f t="shared" si="12"/>
        <v>6299.4604268817202</v>
      </c>
      <c r="F102" s="278">
        <f t="shared" si="12"/>
        <v>6799.8979487751712</v>
      </c>
      <c r="G102" s="278">
        <f t="shared" si="12"/>
        <v>7340.8958733325144</v>
      </c>
      <c r="H102" s="278">
        <f t="shared" si="12"/>
        <v>7925.6999327744825</v>
      </c>
      <c r="I102" s="278">
        <f t="shared" si="12"/>
        <v>8557.8155448996567</v>
      </c>
      <c r="J102" s="278">
        <f t="shared" si="12"/>
        <v>8900.1281666956529</v>
      </c>
      <c r="K102" s="301"/>
      <c r="L102" s="301"/>
      <c r="M102" s="301"/>
      <c r="N102" s="301"/>
      <c r="O102" s="301"/>
      <c r="P102" s="301"/>
      <c r="Q102" s="301"/>
      <c r="R102" s="301"/>
    </row>
    <row r="103" spans="1:18" x14ac:dyDescent="0.15">
      <c r="A103" s="63" t="s">
        <v>438</v>
      </c>
      <c r="B103" s="438">
        <f>B102/B$21</f>
        <v>0.14946446213598319</v>
      </c>
      <c r="C103" s="438">
        <f>C102/C$21</f>
        <v>0.1504765373641716</v>
      </c>
      <c r="D103" s="438">
        <f>D102/D$21</f>
        <v>0.14772298720531288</v>
      </c>
      <c r="E103" s="438">
        <f t="shared" ref="E103:J103" si="13">E102/E$21</f>
        <v>0.13412883285489355</v>
      </c>
      <c r="F103" s="438">
        <f t="shared" si="13"/>
        <v>0.13405944989227581</v>
      </c>
      <c r="G103" s="438">
        <f t="shared" si="13"/>
        <v>0.13400479736893181</v>
      </c>
      <c r="H103" s="438">
        <f t="shared" si="13"/>
        <v>0.13396308891194769</v>
      </c>
      <c r="I103" s="438">
        <f t="shared" si="13"/>
        <v>0.13393272126652125</v>
      </c>
      <c r="J103" s="438">
        <f t="shared" si="13"/>
        <v>0.13393272126652139</v>
      </c>
      <c r="K103" s="301"/>
      <c r="L103" s="301"/>
      <c r="M103" s="301"/>
      <c r="N103" s="301"/>
      <c r="O103" s="301"/>
      <c r="P103" s="301"/>
      <c r="Q103" s="301"/>
      <c r="R103" s="301"/>
    </row>
    <row r="104" spans="1:18" x14ac:dyDescent="0.15">
      <c r="A104" s="63" t="s">
        <v>440</v>
      </c>
      <c r="B104" s="438"/>
      <c r="C104" s="438">
        <f t="shared" ref="C104:J104" si="14">IF(ISERROR(C102/B102-1),"",C102/B102-1)</f>
        <v>8.3656839086489576E-2</v>
      </c>
      <c r="D104" s="438">
        <f t="shared" si="14"/>
        <v>3.6630627723092335E-2</v>
      </c>
      <c r="E104" s="438">
        <f t="shared" si="14"/>
        <v>-1.9386608517789616E-2</v>
      </c>
      <c r="F104" s="438">
        <f t="shared" si="14"/>
        <v>7.9441331158765838E-2</v>
      </c>
      <c r="G104" s="438">
        <f t="shared" si="14"/>
        <v>7.9559712312269326E-2</v>
      </c>
      <c r="H104" s="438">
        <f t="shared" si="14"/>
        <v>7.9663854321432748E-2</v>
      </c>
      <c r="I104" s="438">
        <f t="shared" si="14"/>
        <v>7.9755178405283678E-2</v>
      </c>
      <c r="J104" s="438">
        <f t="shared" si="14"/>
        <v>4.0000000000001146E-2</v>
      </c>
      <c r="K104" s="301"/>
      <c r="L104" s="301"/>
      <c r="M104" s="301"/>
      <c r="N104" s="301"/>
      <c r="O104" s="301"/>
      <c r="P104" s="301"/>
      <c r="Q104" s="301"/>
      <c r="R104" s="301"/>
    </row>
    <row r="105" spans="1:18" x14ac:dyDescent="0.15">
      <c r="A105" s="63"/>
      <c r="B105" s="438"/>
      <c r="C105" s="438"/>
      <c r="D105" s="438"/>
      <c r="E105" s="438"/>
      <c r="F105" s="438"/>
      <c r="G105" s="438"/>
      <c r="H105" s="438"/>
      <c r="I105" s="438"/>
      <c r="J105" s="438"/>
      <c r="K105" s="301"/>
      <c r="L105" s="301"/>
      <c r="M105" s="301"/>
      <c r="N105" s="301"/>
      <c r="O105" s="301"/>
      <c r="P105" s="301"/>
      <c r="Q105" s="301"/>
      <c r="R105" s="301"/>
    </row>
    <row r="106" spans="1:18" x14ac:dyDescent="0.15">
      <c r="A106" s="70" t="str">
        <f>Data!A93</f>
        <v>Other comprehensive income items</v>
      </c>
      <c r="B106" s="8">
        <f>Data!E93</f>
        <v>861.8</v>
      </c>
      <c r="C106" s="8">
        <f>Data!F93</f>
        <v>-707</v>
      </c>
      <c r="D106" s="8">
        <f>Data!G93</f>
        <v>1414.3</v>
      </c>
      <c r="E106" s="129">
        <v>0</v>
      </c>
      <c r="F106" s="129">
        <v>0</v>
      </c>
      <c r="G106" s="129">
        <v>0</v>
      </c>
      <c r="H106" s="129">
        <v>0</v>
      </c>
      <c r="I106" s="129">
        <v>0</v>
      </c>
      <c r="J106" s="96">
        <f>I106*$J$16</f>
        <v>0</v>
      </c>
      <c r="K106" s="301"/>
      <c r="L106" s="301"/>
      <c r="M106" s="315"/>
      <c r="N106" s="315"/>
      <c r="O106" s="315"/>
      <c r="P106" s="315"/>
      <c r="Q106" s="315"/>
      <c r="R106" s="315"/>
    </row>
    <row r="107" spans="1:18" x14ac:dyDescent="0.15">
      <c r="A107" s="63" t="s">
        <v>438</v>
      </c>
      <c r="B107" s="438">
        <f>B106/B$21</f>
        <v>2.2524476876996179E-2</v>
      </c>
      <c r="C107" s="438">
        <f>C106/C$21</f>
        <v>-1.7167486189522248E-2</v>
      </c>
      <c r="D107" s="438">
        <f>D106/D$21</f>
        <v>3.2522512578529575E-2</v>
      </c>
      <c r="E107" s="104">
        <v>0</v>
      </c>
      <c r="F107" s="104">
        <f>E107</f>
        <v>0</v>
      </c>
      <c r="G107" s="104">
        <f>F107</f>
        <v>0</v>
      </c>
      <c r="H107" s="104">
        <f>G107</f>
        <v>0</v>
      </c>
      <c r="I107" s="104">
        <f>H107</f>
        <v>0</v>
      </c>
      <c r="J107" s="98"/>
      <c r="K107" s="301"/>
      <c r="L107" s="301"/>
      <c r="M107" s="315"/>
      <c r="N107" s="315"/>
      <c r="O107" s="315"/>
      <c r="P107" s="315"/>
      <c r="Q107" s="315"/>
      <c r="R107" s="315"/>
    </row>
    <row r="108" spans="1:18" x14ac:dyDescent="0.15">
      <c r="A108" s="63" t="s">
        <v>440</v>
      </c>
      <c r="B108" s="438"/>
      <c r="C108" s="438">
        <f>IF(ISERROR(C106/B106-1),"",C106/B106-1)</f>
        <v>-1.8203759572986771</v>
      </c>
      <c r="D108" s="438">
        <f>IF(ISERROR(D106/C106-1),"",D106/C106-1)</f>
        <v>-3.0004243281471004</v>
      </c>
      <c r="E108" s="99" t="s">
        <v>454</v>
      </c>
      <c r="F108" s="439"/>
      <c r="G108" s="439"/>
      <c r="H108" s="439"/>
      <c r="I108" s="439"/>
      <c r="J108" s="103"/>
      <c r="K108" s="301"/>
      <c r="L108" s="301"/>
      <c r="M108" s="315"/>
      <c r="N108" s="315"/>
      <c r="O108" s="315"/>
      <c r="P108" s="315"/>
      <c r="Q108" s="315"/>
      <c r="R108" s="315"/>
    </row>
    <row r="109" spans="1:18" ht="14" thickBot="1" x14ac:dyDescent="0.2">
      <c r="A109" s="102" t="str">
        <f>Data!A94</f>
        <v>Comprehensive Income</v>
      </c>
      <c r="B109" s="108">
        <f>B96+B106</f>
        <v>6574.3999999999987</v>
      </c>
      <c r="C109" s="108">
        <f>C96+C106</f>
        <v>5483.4999999999973</v>
      </c>
      <c r="D109" s="108">
        <f>D96+D106</f>
        <v>7830.8000000000011</v>
      </c>
      <c r="E109" s="108">
        <f t="shared" ref="E109:J109" si="15">E102+E106</f>
        <v>6299.4604268817202</v>
      </c>
      <c r="F109" s="108">
        <f t="shared" si="15"/>
        <v>6799.8979487751712</v>
      </c>
      <c r="G109" s="108">
        <f t="shared" si="15"/>
        <v>7340.8958733325144</v>
      </c>
      <c r="H109" s="108">
        <f t="shared" si="15"/>
        <v>7925.6999327744825</v>
      </c>
      <c r="I109" s="108">
        <f t="shared" si="15"/>
        <v>8557.8155448996567</v>
      </c>
      <c r="J109" s="108">
        <f t="shared" si="15"/>
        <v>8900.1281666956529</v>
      </c>
      <c r="K109" s="301"/>
      <c r="L109" s="301"/>
      <c r="M109" s="315"/>
      <c r="N109" s="315"/>
      <c r="O109" s="315"/>
      <c r="P109" s="315"/>
      <c r="Q109" s="315"/>
      <c r="R109" s="301"/>
    </row>
    <row r="110" spans="1:18" ht="14" thickTop="1" x14ac:dyDescent="0.15">
      <c r="A110" s="63" t="s">
        <v>438</v>
      </c>
      <c r="B110" s="438">
        <f t="shared" ref="B110:J110" si="16">B109/B$21</f>
        <v>0.17183211972629805</v>
      </c>
      <c r="C110" s="438">
        <f t="shared" si="16"/>
        <v>0.13315121714320396</v>
      </c>
      <c r="D110" s="438">
        <f t="shared" si="16"/>
        <v>0.18007303365618993</v>
      </c>
      <c r="E110" s="438">
        <f t="shared" si="16"/>
        <v>0.13412883285489355</v>
      </c>
      <c r="F110" s="438">
        <f t="shared" si="16"/>
        <v>0.13405944989227581</v>
      </c>
      <c r="G110" s="438">
        <f t="shared" si="16"/>
        <v>0.13400479736893181</v>
      </c>
      <c r="H110" s="438">
        <f t="shared" si="16"/>
        <v>0.13396308891194769</v>
      </c>
      <c r="I110" s="438">
        <f t="shared" si="16"/>
        <v>0.13393272126652125</v>
      </c>
      <c r="J110" s="438">
        <f t="shared" si="16"/>
        <v>0.13393272126652139</v>
      </c>
      <c r="K110" s="301"/>
      <c r="L110" s="301"/>
      <c r="M110" s="315"/>
      <c r="N110" s="315"/>
      <c r="O110" s="315"/>
      <c r="P110" s="315"/>
      <c r="Q110" s="315"/>
      <c r="R110" s="301"/>
    </row>
    <row r="111" spans="1:18" x14ac:dyDescent="0.15">
      <c r="A111" s="63" t="s">
        <v>440</v>
      </c>
      <c r="B111" s="438"/>
      <c r="C111" s="438">
        <f>IF(ISERROR(C109/B109-1),"",C109/B109-1)</f>
        <v>-0.16593149184716505</v>
      </c>
      <c r="D111" s="438">
        <f>IF(ISERROR(D109/C109-1),"",D109/C109-1)</f>
        <v>0.42806601623051055</v>
      </c>
      <c r="E111" s="438">
        <f t="shared" ref="E111:J111" si="17">IF(ISERROR(E109/D109-1),"",E109/D109-1)</f>
        <v>-0.19555340107246777</v>
      </c>
      <c r="F111" s="438">
        <f t="shared" si="17"/>
        <v>7.9441331158765838E-2</v>
      </c>
      <c r="G111" s="438">
        <f t="shared" si="17"/>
        <v>7.9559712312269326E-2</v>
      </c>
      <c r="H111" s="438">
        <f t="shared" si="17"/>
        <v>7.9663854321432748E-2</v>
      </c>
      <c r="I111" s="438">
        <f t="shared" si="17"/>
        <v>7.9755178405283678E-2</v>
      </c>
      <c r="J111" s="438">
        <f t="shared" si="17"/>
        <v>4.0000000000001146E-2</v>
      </c>
      <c r="K111" s="301"/>
      <c r="L111" s="301"/>
      <c r="M111" s="301"/>
      <c r="N111" s="301"/>
      <c r="O111" s="301"/>
      <c r="P111" s="301"/>
      <c r="Q111" s="301"/>
      <c r="R111" s="315"/>
    </row>
    <row r="112" spans="1:18" x14ac:dyDescent="0.15">
      <c r="A112" s="70"/>
      <c r="B112" s="301"/>
      <c r="C112" s="301"/>
      <c r="D112" s="384"/>
      <c r="E112" s="301"/>
      <c r="F112" s="301"/>
      <c r="G112" s="301"/>
      <c r="H112" s="301"/>
      <c r="I112" s="301"/>
      <c r="J112" s="301"/>
      <c r="K112" s="301"/>
      <c r="L112" s="301"/>
      <c r="M112" s="301"/>
      <c r="N112" s="301"/>
      <c r="O112" s="301"/>
      <c r="P112" s="301"/>
      <c r="Q112" s="301"/>
      <c r="R112" s="301"/>
    </row>
    <row r="113" spans="1:20" x14ac:dyDescent="0.15">
      <c r="A113" s="35"/>
      <c r="B113" s="301"/>
      <c r="C113" s="301"/>
      <c r="D113" s="301"/>
      <c r="E113" s="301"/>
      <c r="F113" s="301"/>
      <c r="G113" s="301"/>
      <c r="H113" s="301"/>
      <c r="I113" s="301"/>
      <c r="J113" s="301"/>
      <c r="K113" s="301"/>
      <c r="L113" s="301"/>
      <c r="M113" s="301"/>
      <c r="N113" s="301"/>
      <c r="O113" s="301"/>
      <c r="P113" s="301"/>
      <c r="Q113" s="301"/>
      <c r="R113" s="301"/>
      <c r="S113" s="301"/>
      <c r="T113" s="301"/>
    </row>
    <row r="114" spans="1:20" x14ac:dyDescent="0.15">
      <c r="A114" s="81" t="s">
        <v>414</v>
      </c>
      <c r="B114" s="82" t="s">
        <v>415</v>
      </c>
      <c r="C114" s="429"/>
      <c r="D114" s="429"/>
      <c r="E114" s="82"/>
      <c r="F114" s="429"/>
      <c r="G114" s="429"/>
      <c r="H114" s="429"/>
      <c r="I114" s="429"/>
      <c r="J114" s="430"/>
      <c r="K114" s="301"/>
      <c r="L114" s="301"/>
      <c r="M114" s="301"/>
      <c r="N114" s="301"/>
      <c r="O114" s="301"/>
      <c r="P114" s="301"/>
      <c r="Q114" s="301"/>
      <c r="R114" s="301"/>
      <c r="S114" s="301"/>
      <c r="T114" s="301"/>
    </row>
    <row r="115" spans="1:20" x14ac:dyDescent="0.15">
      <c r="A115" s="83" t="str">
        <f>Data!A9</f>
        <v>Analyst Name:</v>
      </c>
      <c r="B115" s="109" t="str">
        <f>Data!B9</f>
        <v>Durdona Karimova &amp; Vincenzo Giordano</v>
      </c>
      <c r="C115" s="429"/>
      <c r="D115" s="429"/>
      <c r="E115" s="82"/>
      <c r="F115" s="429"/>
      <c r="G115" s="429"/>
      <c r="H115" s="429"/>
      <c r="I115" s="429"/>
      <c r="J115" s="430"/>
      <c r="K115" s="301"/>
      <c r="L115" s="301"/>
      <c r="M115" s="301"/>
      <c r="N115" s="301"/>
      <c r="O115" s="301"/>
      <c r="P115" s="301"/>
      <c r="Q115" s="301"/>
      <c r="R115" s="301"/>
      <c r="S115" s="301"/>
      <c r="T115" s="301"/>
    </row>
    <row r="116" spans="1:20" x14ac:dyDescent="0.15">
      <c r="A116" s="83" t="str">
        <f>Data!A10</f>
        <v>Company Name:</v>
      </c>
      <c r="B116" s="110" t="str">
        <f>Data!B10</f>
        <v>L'Oreal</v>
      </c>
      <c r="C116" s="436"/>
      <c r="D116" s="436"/>
      <c r="E116" s="92"/>
      <c r="F116" s="436"/>
      <c r="G116" s="436"/>
      <c r="H116" s="436"/>
      <c r="I116" s="436"/>
      <c r="J116" s="445"/>
      <c r="K116" s="301"/>
      <c r="L116" s="301"/>
      <c r="M116" s="301"/>
      <c r="N116" s="301"/>
      <c r="O116" s="301"/>
      <c r="P116" s="301"/>
      <c r="Q116" s="301"/>
      <c r="R116" s="301"/>
      <c r="S116" s="301"/>
      <c r="T116" s="301"/>
    </row>
    <row r="117" spans="1:20" x14ac:dyDescent="0.15">
      <c r="A117" s="111"/>
      <c r="B117" s="86"/>
      <c r="C117" s="299"/>
      <c r="D117" s="299"/>
      <c r="E117" s="35"/>
      <c r="F117" s="299"/>
      <c r="G117" s="299"/>
      <c r="H117" s="299"/>
      <c r="I117" s="299"/>
      <c r="J117" s="299"/>
      <c r="K117" s="301"/>
      <c r="L117" s="301"/>
      <c r="M117" s="301"/>
      <c r="N117" s="301"/>
      <c r="O117" s="301"/>
      <c r="P117" s="301"/>
      <c r="Q117" s="301"/>
      <c r="R117" s="301"/>
      <c r="S117" s="301"/>
      <c r="T117" s="301"/>
    </row>
    <row r="118" spans="1:20" x14ac:dyDescent="0.15">
      <c r="A118" s="35"/>
      <c r="B118" s="35" t="s">
        <v>416</v>
      </c>
      <c r="C118" s="299"/>
      <c r="D118" s="299"/>
      <c r="E118" s="86" t="s">
        <v>416</v>
      </c>
      <c r="F118" s="433"/>
      <c r="G118" s="433"/>
      <c r="H118" s="433"/>
      <c r="I118" s="433"/>
      <c r="J118" s="433"/>
      <c r="K118" s="301"/>
      <c r="L118" s="301"/>
      <c r="M118" s="301"/>
      <c r="N118" s="301"/>
      <c r="O118" s="301"/>
      <c r="P118" s="301"/>
      <c r="Q118" s="301"/>
      <c r="R118" s="301"/>
      <c r="S118" s="301"/>
      <c r="T118" s="301"/>
    </row>
    <row r="119" spans="1:20" x14ac:dyDescent="0.15">
      <c r="A119" s="299"/>
      <c r="B119" s="35" t="s">
        <v>417</v>
      </c>
      <c r="C119" s="299"/>
      <c r="D119" s="299"/>
      <c r="E119" s="87" t="s">
        <v>418</v>
      </c>
      <c r="F119" s="433"/>
      <c r="G119" s="433"/>
      <c r="H119" s="433"/>
      <c r="I119" s="433"/>
      <c r="J119" s="88" t="s">
        <v>419</v>
      </c>
      <c r="K119" s="301"/>
      <c r="L119" s="37" t="s">
        <v>412</v>
      </c>
      <c r="M119" s="301"/>
      <c r="N119" s="301"/>
      <c r="O119" s="301"/>
      <c r="P119" s="301"/>
      <c r="Q119" s="301"/>
      <c r="R119" s="301"/>
      <c r="S119" s="301"/>
      <c r="T119" s="301"/>
    </row>
    <row r="120" spans="1:20" x14ac:dyDescent="0.15">
      <c r="A120" s="299"/>
      <c r="B120" s="299" t="s">
        <v>455</v>
      </c>
      <c r="C120" s="299"/>
      <c r="D120" s="299"/>
      <c r="E120" s="89" t="s">
        <v>422</v>
      </c>
      <c r="F120" s="433"/>
      <c r="G120" s="433"/>
      <c r="H120" s="433"/>
      <c r="I120" s="434" t="s">
        <v>423</v>
      </c>
      <c r="J120" s="90">
        <f>$J$15</f>
        <v>0.04</v>
      </c>
      <c r="K120" s="301"/>
      <c r="L120" s="301" t="s">
        <v>413</v>
      </c>
      <c r="M120" s="301"/>
      <c r="N120" s="301"/>
      <c r="O120" s="301"/>
      <c r="P120" s="301"/>
      <c r="Q120" s="301"/>
      <c r="R120" s="301"/>
      <c r="S120" s="301"/>
      <c r="T120" s="301"/>
    </row>
    <row r="121" spans="1:20" x14ac:dyDescent="0.15">
      <c r="A121" s="299"/>
      <c r="B121" s="299" t="s">
        <v>456</v>
      </c>
      <c r="C121" s="299"/>
      <c r="D121" s="299"/>
      <c r="E121" s="89" t="s">
        <v>426</v>
      </c>
      <c r="F121" s="433"/>
      <c r="G121" s="433"/>
      <c r="H121" s="433"/>
      <c r="I121" s="434" t="s">
        <v>427</v>
      </c>
      <c r="J121" s="383">
        <f>1+$J$15</f>
        <v>1.04</v>
      </c>
      <c r="K121" s="301"/>
      <c r="L121" s="301"/>
      <c r="M121" s="301"/>
      <c r="N121" s="301"/>
      <c r="O121" s="301"/>
      <c r="P121" s="301"/>
      <c r="Q121" s="301"/>
      <c r="R121" s="301"/>
      <c r="S121" s="301"/>
      <c r="T121" s="301"/>
    </row>
    <row r="122" spans="1:20" ht="14" thickBot="1" x14ac:dyDescent="0.2">
      <c r="A122" s="299"/>
      <c r="B122" s="112"/>
      <c r="C122" s="299"/>
      <c r="D122" s="299"/>
      <c r="E122" s="435"/>
      <c r="F122" s="435"/>
      <c r="G122" s="435"/>
      <c r="H122" s="435"/>
      <c r="I122" s="435"/>
      <c r="J122" s="435"/>
      <c r="K122" s="301"/>
      <c r="L122" s="301"/>
      <c r="M122" s="301"/>
      <c r="N122" s="301"/>
      <c r="O122" s="301"/>
      <c r="P122" s="301"/>
      <c r="Q122" s="301"/>
      <c r="R122" s="301"/>
      <c r="S122" s="301"/>
      <c r="T122" s="301"/>
    </row>
    <row r="123" spans="1:20" ht="14" thickTop="1" x14ac:dyDescent="0.15">
      <c r="A123" s="299"/>
      <c r="B123" s="92" t="s">
        <v>428</v>
      </c>
      <c r="C123" s="436"/>
      <c r="D123" s="436"/>
      <c r="E123" s="93" t="s">
        <v>429</v>
      </c>
      <c r="F123" s="446"/>
      <c r="G123" s="446"/>
      <c r="H123" s="446"/>
      <c r="I123" s="446"/>
      <c r="J123" s="113"/>
      <c r="K123" s="301"/>
      <c r="L123" s="37" t="s">
        <v>457</v>
      </c>
      <c r="M123" s="301"/>
      <c r="N123" s="301"/>
      <c r="O123" s="301"/>
      <c r="P123" s="301"/>
      <c r="Q123" s="301"/>
      <c r="R123" s="301"/>
      <c r="S123" s="301"/>
      <c r="T123" s="301"/>
    </row>
    <row r="124" spans="1:20" x14ac:dyDescent="0.15">
      <c r="A124" s="299"/>
      <c r="B124" s="94">
        <f>B19</f>
        <v>2022</v>
      </c>
      <c r="C124" s="94">
        <f>C19</f>
        <v>2023</v>
      </c>
      <c r="D124" s="94">
        <f>D19</f>
        <v>2024</v>
      </c>
      <c r="E124" s="94" t="str">
        <f t="shared" ref="E124:J124" si="18">E$19</f>
        <v>Year +1</v>
      </c>
      <c r="F124" s="94" t="str">
        <f t="shared" si="18"/>
        <v>Year +2</v>
      </c>
      <c r="G124" s="94" t="str">
        <f t="shared" si="18"/>
        <v>Year +3</v>
      </c>
      <c r="H124" s="94" t="str">
        <f t="shared" si="18"/>
        <v>Year +4</v>
      </c>
      <c r="I124" s="94" t="str">
        <f t="shared" si="18"/>
        <v>Year +5</v>
      </c>
      <c r="J124" s="94" t="str">
        <f t="shared" si="18"/>
        <v>Year +6</v>
      </c>
      <c r="K124" s="301"/>
      <c r="L124" s="301" t="s">
        <v>458</v>
      </c>
      <c r="M124" s="301"/>
      <c r="N124" s="301"/>
      <c r="O124" s="301"/>
      <c r="P124" s="301"/>
      <c r="Q124" s="301"/>
      <c r="R124" s="301"/>
      <c r="S124" s="301"/>
      <c r="T124" s="301"/>
    </row>
    <row r="125" spans="1:20" x14ac:dyDescent="0.15">
      <c r="A125" s="35" t="s">
        <v>459</v>
      </c>
      <c r="B125" s="301"/>
      <c r="C125" s="301"/>
      <c r="D125" s="301"/>
      <c r="E125" s="301"/>
      <c r="F125" s="301"/>
      <c r="G125" s="301"/>
      <c r="H125" s="301"/>
      <c r="I125" s="301"/>
      <c r="J125" s="301"/>
      <c r="K125" s="301"/>
      <c r="L125" s="301"/>
      <c r="M125" s="301"/>
      <c r="N125" s="301"/>
      <c r="O125" s="301"/>
      <c r="P125" s="301"/>
      <c r="Q125" s="301"/>
      <c r="R125" s="301"/>
      <c r="S125" s="301"/>
      <c r="T125" s="301"/>
    </row>
    <row r="126" spans="1:20" x14ac:dyDescent="0.15">
      <c r="A126" s="70" t="s">
        <v>460</v>
      </c>
      <c r="B126" s="301"/>
      <c r="C126" s="301"/>
      <c r="D126" s="301"/>
      <c r="E126" s="301"/>
      <c r="F126" s="301"/>
      <c r="G126" s="301"/>
      <c r="H126" s="301"/>
      <c r="I126" s="301"/>
      <c r="J126" s="301"/>
      <c r="K126" s="301"/>
      <c r="L126" s="447"/>
      <c r="M126" s="447"/>
      <c r="N126" s="447"/>
      <c r="O126" s="447"/>
      <c r="P126" s="447"/>
      <c r="Q126" s="447"/>
      <c r="R126" s="447"/>
      <c r="S126" s="447"/>
      <c r="T126" s="447"/>
    </row>
    <row r="127" spans="1:20" x14ac:dyDescent="0.15">
      <c r="A127" s="70" t="str">
        <f>Data!A16</f>
        <v>Cash and cash equivalents</v>
      </c>
      <c r="B127" s="8">
        <f>Data!E16</f>
        <v>2617.6999999999998</v>
      </c>
      <c r="C127" s="8">
        <f>Data!F16</f>
        <v>4288.1000000000004</v>
      </c>
      <c r="D127" s="8">
        <f>Data!G16</f>
        <v>4052.3</v>
      </c>
      <c r="E127" s="289">
        <f>D127*(1+E128)</f>
        <v>4376.4840000000004</v>
      </c>
      <c r="F127" s="289">
        <f>E127*(1+F128)</f>
        <v>4726.6027200000008</v>
      </c>
      <c r="G127" s="289">
        <f>F127*(1+G128)</f>
        <v>5104.7309376000012</v>
      </c>
      <c r="H127" s="289">
        <f>G127*(1+H128)</f>
        <v>5513.1094126080015</v>
      </c>
      <c r="I127" s="289">
        <f>H127*(1+I128)</f>
        <v>5954.1581656166418</v>
      </c>
      <c r="J127" s="8">
        <f>I127*$J$121</f>
        <v>6192.3244922413078</v>
      </c>
      <c r="K127" s="301"/>
      <c r="L127" s="301"/>
      <c r="M127" s="301"/>
      <c r="N127" s="301"/>
      <c r="O127" s="301"/>
      <c r="P127" s="301"/>
      <c r="Q127" s="301"/>
      <c r="R127" s="301"/>
      <c r="S127" s="301"/>
      <c r="T127" s="301"/>
    </row>
    <row r="128" spans="1:20" x14ac:dyDescent="0.15">
      <c r="A128" s="63" t="s">
        <v>438</v>
      </c>
      <c r="B128" s="438">
        <f>B127/B$178</f>
        <v>5.5881461367352767E-2</v>
      </c>
      <c r="C128" s="438">
        <f>C127/C$178</f>
        <v>8.269405071834926E-2</v>
      </c>
      <c r="D128" s="438">
        <f>D127/D$178</f>
        <v>7.1908704709919904E-2</v>
      </c>
      <c r="E128" s="300">
        <v>0.08</v>
      </c>
      <c r="F128" s="300">
        <f>E128</f>
        <v>0.08</v>
      </c>
      <c r="G128" s="300">
        <f>F128</f>
        <v>0.08</v>
      </c>
      <c r="H128" s="300">
        <f>G128</f>
        <v>0.08</v>
      </c>
      <c r="I128" s="300">
        <f>H128</f>
        <v>0.08</v>
      </c>
      <c r="J128" s="114"/>
      <c r="K128" s="301"/>
      <c r="L128" s="315"/>
      <c r="M128" s="301"/>
      <c r="N128" s="301"/>
      <c r="O128" s="301"/>
      <c r="P128" s="301"/>
      <c r="Q128" s="301"/>
      <c r="R128" s="301"/>
      <c r="S128" s="301"/>
      <c r="T128" s="301"/>
    </row>
    <row r="129" spans="1:16" x14ac:dyDescent="0.15">
      <c r="A129" s="63" t="s">
        <v>440</v>
      </c>
      <c r="B129" s="438"/>
      <c r="C129" s="438">
        <f>IF(ISERROR(C127/B127-1),"",C127/B127-1)</f>
        <v>0.6381174313328497</v>
      </c>
      <c r="D129" s="438">
        <f>IF(ISERROR(D127/C127-1),"",D127/C127-1)</f>
        <v>-5.498938923998975E-2</v>
      </c>
      <c r="E129" s="99" t="s">
        <v>461</v>
      </c>
      <c r="F129" s="290"/>
      <c r="G129" s="290"/>
      <c r="H129" s="290"/>
      <c r="I129" s="290"/>
      <c r="J129" s="115"/>
      <c r="K129" s="301"/>
      <c r="L129" s="315"/>
      <c r="M129" s="301"/>
      <c r="N129" s="301"/>
      <c r="O129" s="301"/>
      <c r="P129" s="301"/>
    </row>
    <row r="130" spans="1:16" x14ac:dyDescent="0.15">
      <c r="A130" s="70" t="str">
        <f>Data!A17</f>
        <v>Marketable securities</v>
      </c>
      <c r="B130" s="8">
        <f>Data!E17</f>
        <v>0</v>
      </c>
      <c r="C130" s="8">
        <f>Data!F17</f>
        <v>0</v>
      </c>
      <c r="D130" s="8">
        <f>Data!G17</f>
        <v>0</v>
      </c>
      <c r="E130" s="129">
        <f>D130*(1+E131)</f>
        <v>0</v>
      </c>
      <c r="F130" s="129">
        <f>E130*(1+F131)</f>
        <v>0</v>
      </c>
      <c r="G130" s="129">
        <f>F130*(1+G131)</f>
        <v>0</v>
      </c>
      <c r="H130" s="129">
        <f>G130*(1+H131)</f>
        <v>0</v>
      </c>
      <c r="I130" s="129">
        <f>H130*(1+I131)</f>
        <v>0</v>
      </c>
      <c r="J130" s="8">
        <f>I130*$J$121</f>
        <v>0</v>
      </c>
      <c r="K130" s="301"/>
      <c r="L130" s="301"/>
      <c r="M130" s="315"/>
      <c r="N130" s="301"/>
      <c r="O130" s="301"/>
      <c r="P130" s="301"/>
    </row>
    <row r="131" spans="1:16" x14ac:dyDescent="0.15">
      <c r="A131" s="63" t="s">
        <v>438</v>
      </c>
      <c r="B131" s="438">
        <f>B130/B$178</f>
        <v>0</v>
      </c>
      <c r="C131" s="438">
        <f>C130/C$178</f>
        <v>0</v>
      </c>
      <c r="D131" s="438">
        <f>D130/D$178</f>
        <v>0</v>
      </c>
      <c r="E131" s="117">
        <v>0</v>
      </c>
      <c r="F131" s="117">
        <f>E131</f>
        <v>0</v>
      </c>
      <c r="G131" s="117">
        <f>F131</f>
        <v>0</v>
      </c>
      <c r="H131" s="117">
        <f>G131</f>
        <v>0</v>
      </c>
      <c r="I131" s="117">
        <f>H131</f>
        <v>0</v>
      </c>
      <c r="J131" s="114"/>
      <c r="K131" s="301"/>
      <c r="L131" s="301"/>
      <c r="M131" s="301"/>
      <c r="N131" s="301"/>
      <c r="O131" s="301"/>
      <c r="P131" s="301"/>
    </row>
    <row r="132" spans="1:16" x14ac:dyDescent="0.15">
      <c r="A132" s="63" t="s">
        <v>440</v>
      </c>
      <c r="B132" s="438"/>
      <c r="C132" s="438" t="str">
        <f>IF(ISERROR(C130/B130-1),"",C130/B130-1)</f>
        <v/>
      </c>
      <c r="D132" s="438" t="str">
        <f>IF(ISERROR(D130/C130-1),"",D130/C130-1)</f>
        <v/>
      </c>
      <c r="E132" s="99" t="s">
        <v>446</v>
      </c>
      <c r="F132" s="439"/>
      <c r="G132" s="439"/>
      <c r="H132" s="439"/>
      <c r="I132" s="439"/>
      <c r="J132" s="107"/>
      <c r="K132" s="301"/>
      <c r="L132" s="301"/>
      <c r="M132" s="301"/>
      <c r="N132" s="301"/>
      <c r="O132" s="301"/>
      <c r="P132" s="301"/>
    </row>
    <row r="133" spans="1:16" x14ac:dyDescent="0.15">
      <c r="A133" s="70" t="str">
        <f>Data!A18</f>
        <v>Accounts and notes receivable - net</v>
      </c>
      <c r="B133" s="8">
        <f>Data!E18</f>
        <v>4755.5</v>
      </c>
      <c r="C133" s="8">
        <f>Data!F18</f>
        <v>5092.7</v>
      </c>
      <c r="D133" s="8">
        <f>Data!G18</f>
        <v>5601.8</v>
      </c>
      <c r="E133" s="129">
        <f>D133*(1+E134)</f>
        <v>6049.9440000000004</v>
      </c>
      <c r="F133" s="129">
        <f>E133*(1+F134)</f>
        <v>6533.9395200000008</v>
      </c>
      <c r="G133" s="129">
        <f>F133*(1+G134)</f>
        <v>7056.6546816000009</v>
      </c>
      <c r="H133" s="129">
        <f>G133*(1+H134)</f>
        <v>7621.1870561280011</v>
      </c>
      <c r="I133" s="129">
        <f>H133*(1+I134)</f>
        <v>8230.8820206182409</v>
      </c>
      <c r="J133" s="8">
        <f>I133*$J$121</f>
        <v>8560.1173014429714</v>
      </c>
      <c r="K133" s="301"/>
      <c r="L133" s="301"/>
      <c r="M133" s="301"/>
      <c r="N133" s="301"/>
      <c r="O133" s="301"/>
      <c r="P133" s="301"/>
    </row>
    <row r="134" spans="1:16" x14ac:dyDescent="0.15">
      <c r="A134" s="63" t="s">
        <v>438</v>
      </c>
      <c r="B134" s="438">
        <f>B133/B$178</f>
        <v>0.10151823720535054</v>
      </c>
      <c r="C134" s="438">
        <f>C133/C$178</f>
        <v>9.8210394368913323E-2</v>
      </c>
      <c r="D134" s="438">
        <f>D133/D$178</f>
        <v>9.9404827392845868E-2</v>
      </c>
      <c r="E134" s="106">
        <v>0.08</v>
      </c>
      <c r="F134" s="106">
        <f>F22</f>
        <v>0.08</v>
      </c>
      <c r="G134" s="106">
        <f>G22</f>
        <v>0.08</v>
      </c>
      <c r="H134" s="106">
        <f>H22</f>
        <v>0.08</v>
      </c>
      <c r="I134" s="106">
        <f>I22</f>
        <v>0.08</v>
      </c>
      <c r="J134" s="114"/>
      <c r="K134" s="301"/>
      <c r="L134" s="301"/>
      <c r="M134" s="301"/>
      <c r="N134" s="301"/>
      <c r="O134" s="301"/>
      <c r="P134" s="301"/>
    </row>
    <row r="135" spans="1:16" x14ac:dyDescent="0.15">
      <c r="A135" s="63" t="s">
        <v>440</v>
      </c>
      <c r="B135" s="438"/>
      <c r="C135" s="438">
        <f>IF(ISERROR(C133/B133-1),"",C133/B133-1)</f>
        <v>7.0907370413205717E-2</v>
      </c>
      <c r="D135" s="438">
        <f>IF(ISERROR(D133/C133-1),"",D133/C133-1)</f>
        <v>9.996661888585634E-2</v>
      </c>
      <c r="E135" s="99" t="s">
        <v>461</v>
      </c>
      <c r="F135" s="439"/>
      <c r="G135" s="439"/>
      <c r="H135" s="439"/>
      <c r="I135" s="439"/>
      <c r="J135" s="115"/>
      <c r="K135" s="301"/>
      <c r="L135" s="301"/>
      <c r="M135" s="301"/>
      <c r="N135" s="301"/>
      <c r="O135" s="301"/>
      <c r="P135" s="301"/>
    </row>
    <row r="136" spans="1:16" x14ac:dyDescent="0.15">
      <c r="A136" s="70" t="str">
        <f>Data!A19</f>
        <v>Inventories</v>
      </c>
      <c r="B136" s="8">
        <f>Data!E19</f>
        <v>4079</v>
      </c>
      <c r="C136" s="8">
        <f>Data!F19</f>
        <v>4482.3999999999996</v>
      </c>
      <c r="D136" s="8">
        <f>Data!G19</f>
        <v>4630.1000000000004</v>
      </c>
      <c r="E136" s="129">
        <f>D136*(1+E137)</f>
        <v>5000.5080000000007</v>
      </c>
      <c r="F136" s="129">
        <f t="shared" ref="F136:I136" si="19">E136*(1+F137)</f>
        <v>5400.5486400000009</v>
      </c>
      <c r="G136" s="129">
        <f t="shared" si="19"/>
        <v>5832.5925312000018</v>
      </c>
      <c r="H136" s="129">
        <f t="shared" si="19"/>
        <v>6299.1999336960025</v>
      </c>
      <c r="I136" s="129">
        <f t="shared" si="19"/>
        <v>6803.1359283916836</v>
      </c>
      <c r="J136" s="8">
        <f>I136*$J$121</f>
        <v>7075.2613655273508</v>
      </c>
      <c r="K136" s="301"/>
      <c r="L136" s="301"/>
      <c r="M136" s="301"/>
      <c r="N136" s="301"/>
      <c r="O136" s="301"/>
      <c r="P136" s="301"/>
    </row>
    <row r="137" spans="1:16" x14ac:dyDescent="0.15">
      <c r="A137" s="63" t="s">
        <v>438</v>
      </c>
      <c r="B137" s="438">
        <f>B136/B$178</f>
        <v>8.7076624868178923E-2</v>
      </c>
      <c r="C137" s="438">
        <f>C136/C$178</f>
        <v>8.6441037508436999E-2</v>
      </c>
      <c r="D137" s="438">
        <f>D136/D$178</f>
        <v>8.2161857137280095E-2</v>
      </c>
      <c r="E137" s="495">
        <v>0.08</v>
      </c>
      <c r="F137" s="104">
        <f>E137</f>
        <v>0.08</v>
      </c>
      <c r="G137" s="104">
        <f>F137</f>
        <v>0.08</v>
      </c>
      <c r="H137" s="104">
        <f>G137</f>
        <v>0.08</v>
      </c>
      <c r="I137" s="104">
        <f>H137</f>
        <v>0.08</v>
      </c>
      <c r="J137" s="114"/>
      <c r="K137" s="301"/>
      <c r="L137" s="301"/>
      <c r="M137" s="301"/>
      <c r="N137" s="301"/>
      <c r="O137" s="301"/>
      <c r="P137" s="301"/>
    </row>
    <row r="138" spans="1:16" x14ac:dyDescent="0.15">
      <c r="A138" s="63" t="s">
        <v>440</v>
      </c>
      <c r="B138" s="438"/>
      <c r="C138" s="438">
        <f>IF(ISERROR(C136/B136-1),"",C136/B136-1)</f>
        <v>9.8896788428536331E-2</v>
      </c>
      <c r="D138" s="438">
        <f>IF(ISERROR(D136/C136-1),"",D136/C136-1)</f>
        <v>3.2951097626271908E-2</v>
      </c>
      <c r="E138" s="99" t="s">
        <v>462</v>
      </c>
      <c r="F138" s="439"/>
      <c r="G138" s="439"/>
      <c r="H138" s="439"/>
      <c r="I138" s="439"/>
      <c r="J138" s="116"/>
      <c r="K138" s="301"/>
      <c r="L138" s="301"/>
      <c r="M138" s="301"/>
      <c r="N138" s="301"/>
      <c r="O138" s="301"/>
      <c r="P138" s="301"/>
    </row>
    <row r="139" spans="1:16" x14ac:dyDescent="0.15">
      <c r="A139" s="102" t="str">
        <f>Data!A20</f>
        <v>Prepaid expenses and other current assets</v>
      </c>
      <c r="B139" s="8">
        <f>Data!E20</f>
        <v>2423.1999999999998</v>
      </c>
      <c r="C139" s="8">
        <f>Data!F20</f>
        <v>2270.6</v>
      </c>
      <c r="D139" s="8">
        <f>Data!G20</f>
        <v>1955.3</v>
      </c>
      <c r="E139" s="129">
        <f>D139*(1+E140)</f>
        <v>2111.7240000000002</v>
      </c>
      <c r="F139" s="129">
        <f>E139*(1+F140)</f>
        <v>2280.6619200000005</v>
      </c>
      <c r="G139" s="129">
        <f>F139*(1+G140)</f>
        <v>2463.1148736000005</v>
      </c>
      <c r="H139" s="129">
        <f>G139*(1+H140)</f>
        <v>2660.1640634880005</v>
      </c>
      <c r="I139" s="129">
        <f>H139*(1+I140)</f>
        <v>2872.9771885670407</v>
      </c>
      <c r="J139" s="8">
        <f>I139*$J$121</f>
        <v>2987.8962761097223</v>
      </c>
      <c r="K139" s="301"/>
      <c r="L139" s="301"/>
      <c r="M139" s="301"/>
      <c r="N139" s="301"/>
      <c r="O139" s="301"/>
      <c r="P139" s="301"/>
    </row>
    <row r="140" spans="1:16" x14ac:dyDescent="0.15">
      <c r="A140" s="63" t="s">
        <v>438</v>
      </c>
      <c r="B140" s="438">
        <f>B139/B$178</f>
        <v>5.1729364398276821E-2</v>
      </c>
      <c r="C140" s="438">
        <f>C139/C$178</f>
        <v>4.3787484331308461E-2</v>
      </c>
      <c r="D140" s="438">
        <f>D139/D$178</f>
        <v>3.4697107894111089E-2</v>
      </c>
      <c r="E140" s="494">
        <v>0.08</v>
      </c>
      <c r="F140" s="106">
        <f>F22</f>
        <v>0.08</v>
      </c>
      <c r="G140" s="106">
        <f>G22</f>
        <v>0.08</v>
      </c>
      <c r="H140" s="106">
        <f>H22</f>
        <v>0.08</v>
      </c>
      <c r="I140" s="106">
        <f>I22</f>
        <v>0.08</v>
      </c>
      <c r="J140" s="114"/>
      <c r="K140" s="301"/>
      <c r="L140" s="301"/>
      <c r="M140" s="301"/>
      <c r="N140" s="301"/>
      <c r="O140" s="301"/>
      <c r="P140" s="301"/>
    </row>
    <row r="141" spans="1:16" x14ac:dyDescent="0.15">
      <c r="A141" s="63" t="s">
        <v>440</v>
      </c>
      <c r="B141" s="438"/>
      <c r="C141" s="438">
        <f>IF(ISERROR(C139/B139-1),"",C139/B139-1)</f>
        <v>-6.2974579068999614E-2</v>
      </c>
      <c r="D141" s="438">
        <f>IF(ISERROR(D139/C139-1),"",D139/C139-1)</f>
        <v>-0.13886197480842066</v>
      </c>
      <c r="E141" s="99" t="s">
        <v>462</v>
      </c>
      <c r="F141" s="439"/>
      <c r="G141" s="439"/>
      <c r="H141" s="439"/>
      <c r="I141" s="439"/>
      <c r="J141" s="116"/>
      <c r="K141" s="301"/>
      <c r="L141" s="301"/>
      <c r="M141" s="301"/>
      <c r="N141" s="301"/>
      <c r="O141" s="301"/>
      <c r="P141" s="301"/>
    </row>
    <row r="142" spans="1:16" x14ac:dyDescent="0.15">
      <c r="A142" s="70" t="str">
        <f>Data!A21</f>
        <v>Other current assets (1) - current tax assets</v>
      </c>
      <c r="B142" s="8">
        <f>Data!E21</f>
        <v>173.9</v>
      </c>
      <c r="C142" s="8">
        <f>Data!F21</f>
        <v>191.6</v>
      </c>
      <c r="D142" s="8">
        <f>Data!G21</f>
        <v>234.1</v>
      </c>
      <c r="E142" s="129">
        <f>D142*(1+E143)</f>
        <v>252.828</v>
      </c>
      <c r="F142" s="129">
        <f>E142*(1+F143)</f>
        <v>273.05423999999999</v>
      </c>
      <c r="G142" s="129">
        <f>F142*(1+G143)</f>
        <v>294.89857920000003</v>
      </c>
      <c r="H142" s="129">
        <f>G142*(1+H143)</f>
        <v>318.49046553600004</v>
      </c>
      <c r="I142" s="129">
        <f>H142*(1+I143)</f>
        <v>343.96970277888005</v>
      </c>
      <c r="J142" s="8">
        <f>I142*$J$121</f>
        <v>357.72849089003529</v>
      </c>
      <c r="K142" s="301"/>
      <c r="L142" s="301"/>
      <c r="M142" s="301"/>
      <c r="N142" s="301"/>
      <c r="O142" s="301"/>
      <c r="P142" s="301"/>
    </row>
    <row r="143" spans="1:16" x14ac:dyDescent="0.15">
      <c r="A143" s="63" t="s">
        <v>438</v>
      </c>
      <c r="B143" s="438">
        <f>B142/B$178</f>
        <v>3.7123375985722764E-3</v>
      </c>
      <c r="C143" s="438">
        <f>C142/C$178</f>
        <v>3.694918522803973E-3</v>
      </c>
      <c r="D143" s="438">
        <f>D142/D$178</f>
        <v>4.1541415424801338E-3</v>
      </c>
      <c r="E143" s="117">
        <v>0.08</v>
      </c>
      <c r="F143" s="117">
        <f>E143</f>
        <v>0.08</v>
      </c>
      <c r="G143" s="117">
        <f>F143</f>
        <v>0.08</v>
      </c>
      <c r="H143" s="117">
        <f>G143</f>
        <v>0.08</v>
      </c>
      <c r="I143" s="117">
        <f>H143</f>
        <v>0.08</v>
      </c>
      <c r="J143" s="114"/>
      <c r="K143" s="301"/>
      <c r="L143" s="301"/>
      <c r="M143" s="301"/>
      <c r="N143" s="301"/>
      <c r="O143" s="301"/>
      <c r="P143" s="301"/>
    </row>
    <row r="144" spans="1:16" x14ac:dyDescent="0.15">
      <c r="A144" s="63" t="s">
        <v>440</v>
      </c>
      <c r="B144" s="438"/>
      <c r="C144" s="438">
        <f>IF(ISERROR(C142/B142-1),"",C142/B142-1)</f>
        <v>0.10178263369752716</v>
      </c>
      <c r="D144" s="438">
        <f>IF(ISERROR(D142/C142-1),"",D142/C142-1)</f>
        <v>0.22181628392484343</v>
      </c>
      <c r="E144" s="99" t="s">
        <v>462</v>
      </c>
      <c r="F144" s="439"/>
      <c r="G144" s="439"/>
      <c r="H144" s="439"/>
      <c r="I144" s="439"/>
      <c r="J144" s="107"/>
      <c r="K144" s="301"/>
      <c r="L144" s="301"/>
      <c r="M144" s="301"/>
      <c r="N144" s="301"/>
      <c r="O144" s="301"/>
      <c r="P144" s="301"/>
    </row>
    <row r="145" spans="1:15" x14ac:dyDescent="0.15">
      <c r="A145" s="70" t="str">
        <f>Data!A22</f>
        <v>Other current assets (2)</v>
      </c>
      <c r="B145" s="8">
        <f>Data!E22</f>
        <v>0</v>
      </c>
      <c r="C145" s="8">
        <f>Data!F22</f>
        <v>0</v>
      </c>
      <c r="D145" s="8">
        <f>Data!G22</f>
        <v>0</v>
      </c>
      <c r="E145" s="129">
        <f>D145*(1+E146)</f>
        <v>0</v>
      </c>
      <c r="F145" s="129">
        <f>E145*(1+F146)</f>
        <v>0</v>
      </c>
      <c r="G145" s="129">
        <f>F145*(1+G146)</f>
        <v>0</v>
      </c>
      <c r="H145" s="129">
        <f>G145*(1+H146)</f>
        <v>0</v>
      </c>
      <c r="I145" s="129">
        <f>H145*(1+I146)</f>
        <v>0</v>
      </c>
      <c r="J145" s="8">
        <f>I145*$J$121</f>
        <v>0</v>
      </c>
      <c r="K145" s="301"/>
      <c r="L145" s="447"/>
      <c r="M145" s="447"/>
      <c r="N145" s="447"/>
      <c r="O145" s="447"/>
    </row>
    <row r="146" spans="1:15" x14ac:dyDescent="0.15">
      <c r="A146" s="63" t="s">
        <v>438</v>
      </c>
      <c r="B146" s="438">
        <f>B145/B$178</f>
        <v>0</v>
      </c>
      <c r="C146" s="438">
        <f>C145/C$178</f>
        <v>0</v>
      </c>
      <c r="D146" s="438">
        <f>D145/D$178</f>
        <v>0</v>
      </c>
      <c r="E146" s="117">
        <v>0</v>
      </c>
      <c r="F146" s="117">
        <f>E146</f>
        <v>0</v>
      </c>
      <c r="G146" s="117">
        <f>F146</f>
        <v>0</v>
      </c>
      <c r="H146" s="117">
        <f>G146</f>
        <v>0</v>
      </c>
      <c r="I146" s="117">
        <f>H146</f>
        <v>0</v>
      </c>
      <c r="J146" s="114"/>
      <c r="K146" s="301"/>
      <c r="L146" s="301"/>
      <c r="M146" s="301"/>
      <c r="N146" s="301"/>
      <c r="O146" s="301"/>
    </row>
    <row r="147" spans="1:15" x14ac:dyDescent="0.15">
      <c r="A147" s="63" t="s">
        <v>440</v>
      </c>
      <c r="B147" s="438"/>
      <c r="C147" s="438" t="str">
        <f>IF(ISERROR(C145/B145-1),"",C145/B145-1)</f>
        <v/>
      </c>
      <c r="D147" s="438" t="str">
        <f>IF(ISERROR(D145/C145-1),"",D145/C145-1)</f>
        <v/>
      </c>
      <c r="E147" s="99" t="s">
        <v>446</v>
      </c>
      <c r="F147" s="439"/>
      <c r="G147" s="439"/>
      <c r="H147" s="439"/>
      <c r="I147" s="439"/>
      <c r="J147" s="118"/>
      <c r="K147" s="301"/>
      <c r="L147" s="301"/>
      <c r="M147" s="301"/>
      <c r="N147" s="511"/>
      <c r="O147" s="301"/>
    </row>
    <row r="148" spans="1:15" x14ac:dyDescent="0.15">
      <c r="A148" s="102" t="str">
        <f>Data!A23</f>
        <v xml:space="preserve">  Current Assets</v>
      </c>
      <c r="B148" s="100">
        <f t="shared" ref="B148:I148" si="20">B127+B130+B133+B136+B139+B142+B145</f>
        <v>14049.300000000001</v>
      </c>
      <c r="C148" s="100">
        <f t="shared" si="20"/>
        <v>16325.4</v>
      </c>
      <c r="D148" s="100">
        <f t="shared" si="20"/>
        <v>16473.599999999999</v>
      </c>
      <c r="E148" s="100">
        <f t="shared" si="20"/>
        <v>17791.488000000005</v>
      </c>
      <c r="F148" s="100">
        <f t="shared" si="20"/>
        <v>19214.807040000003</v>
      </c>
      <c r="G148" s="100">
        <f t="shared" si="20"/>
        <v>20751.991603200004</v>
      </c>
      <c r="H148" s="100">
        <f t="shared" si="20"/>
        <v>22412.15093145601</v>
      </c>
      <c r="I148" s="100">
        <f t="shared" si="20"/>
        <v>24205.123005972488</v>
      </c>
      <c r="J148" s="100">
        <f>J127+J130+J133+J136+J139+J142+J145</f>
        <v>25173.32792621139</v>
      </c>
      <c r="K148" s="301"/>
      <c r="L148" s="301"/>
      <c r="M148" s="301"/>
      <c r="N148" s="301"/>
      <c r="O148" s="301"/>
    </row>
    <row r="149" spans="1:15" x14ac:dyDescent="0.15">
      <c r="A149" s="63" t="s">
        <v>438</v>
      </c>
      <c r="B149" s="438">
        <f>B148/B$178</f>
        <v>0.29991802543773138</v>
      </c>
      <c r="C149" s="438">
        <f>C148/C$178</f>
        <v>0.31482788544981199</v>
      </c>
      <c r="D149" s="438">
        <f>D148/D$178</f>
        <v>0.29232663867663705</v>
      </c>
      <c r="E149" s="441">
        <f t="shared" ref="E149:J149" ca="1" si="21">E148/E178</f>
        <v>0.28792354221870481</v>
      </c>
      <c r="F149" s="441">
        <f t="shared" ca="1" si="21"/>
        <v>0.28518462920084064</v>
      </c>
      <c r="G149" s="441">
        <f t="shared" ca="1" si="21"/>
        <v>0.28359312356474703</v>
      </c>
      <c r="H149" s="441">
        <f t="shared" ca="1" si="21"/>
        <v>0.2829349968339222</v>
      </c>
      <c r="I149" s="441">
        <f t="shared" ca="1" si="21"/>
        <v>0.28304310229607899</v>
      </c>
      <c r="J149" s="441">
        <f t="shared" ca="1" si="21"/>
        <v>0.28304310229607893</v>
      </c>
      <c r="K149" s="301"/>
      <c r="L149" s="301"/>
      <c r="M149" s="301"/>
      <c r="N149" s="301"/>
      <c r="O149" s="301"/>
    </row>
    <row r="150" spans="1:15" x14ac:dyDescent="0.15">
      <c r="A150" s="63" t="s">
        <v>440</v>
      </c>
      <c r="B150" s="438"/>
      <c r="C150" s="438">
        <f>IF(ISERROR(C148/B148-1),"",C148/B148-1)</f>
        <v>0.16200807157651975</v>
      </c>
      <c r="D150" s="438">
        <f>IF(ISERROR(D148/C148-1),"",D148/C148-1)</f>
        <v>9.0778786430960601E-3</v>
      </c>
      <c r="E150" s="438">
        <f t="shared" ref="E150:J150" si="22">IF(ISERROR(E148/D148-1),"",E148/D148-1)</f>
        <v>8.0000000000000293E-2</v>
      </c>
      <c r="F150" s="438">
        <f t="shared" si="22"/>
        <v>7.9999999999999849E-2</v>
      </c>
      <c r="G150" s="438">
        <f t="shared" si="22"/>
        <v>8.0000000000000071E-2</v>
      </c>
      <c r="H150" s="438">
        <f t="shared" si="22"/>
        <v>8.0000000000000293E-2</v>
      </c>
      <c r="I150" s="438">
        <f t="shared" si="22"/>
        <v>7.9999999999999849E-2</v>
      </c>
      <c r="J150" s="438">
        <f t="shared" si="22"/>
        <v>4.0000000000000036E-2</v>
      </c>
      <c r="K150" s="301"/>
      <c r="L150" s="301"/>
      <c r="M150" s="301"/>
      <c r="N150" s="301"/>
      <c r="O150" s="301"/>
    </row>
    <row r="151" spans="1:15" x14ac:dyDescent="0.15">
      <c r="A151" s="70" t="str">
        <f>Data!A24</f>
        <v>Investments in noncontrolled affiliates</v>
      </c>
      <c r="B151" s="8">
        <f>Data!E24</f>
        <v>18.399999999999999</v>
      </c>
      <c r="C151" s="8">
        <f>Data!F24</f>
        <v>27</v>
      </c>
      <c r="D151" s="8">
        <f>Data!G24</f>
        <v>126.4</v>
      </c>
      <c r="E151" s="129">
        <f>D151*(1+E152)</f>
        <v>126.4</v>
      </c>
      <c r="F151" s="129">
        <f>E151*(1+F152)</f>
        <v>126.4</v>
      </c>
      <c r="G151" s="129">
        <f>F151*(1+G152)</f>
        <v>126.4</v>
      </c>
      <c r="H151" s="129">
        <f>G151*(1+H152)</f>
        <v>126.4</v>
      </c>
      <c r="I151" s="129">
        <f>H151*(1+I152)</f>
        <v>126.4</v>
      </c>
      <c r="J151" s="8">
        <f>I151*$J$121</f>
        <v>131.45600000000002</v>
      </c>
      <c r="K151" s="301"/>
      <c r="L151" s="301"/>
      <c r="M151" s="301"/>
      <c r="N151" s="301"/>
      <c r="O151" s="301"/>
    </row>
    <row r="152" spans="1:15" x14ac:dyDescent="0.15">
      <c r="A152" s="63" t="s">
        <v>438</v>
      </c>
      <c r="B152" s="438">
        <f>B151/B$178</f>
        <v>3.9279477753726208E-4</v>
      </c>
      <c r="C152" s="438">
        <f>C151/C$178</f>
        <v>5.2068267283772061E-4</v>
      </c>
      <c r="D152" s="438">
        <f>D151/D$178</f>
        <v>2.2429880007240025E-3</v>
      </c>
      <c r="E152" s="106">
        <v>0</v>
      </c>
      <c r="F152" s="106">
        <v>0</v>
      </c>
      <c r="G152" s="106">
        <v>0</v>
      </c>
      <c r="H152" s="106">
        <v>0</v>
      </c>
      <c r="I152" s="106">
        <v>0</v>
      </c>
      <c r="J152" s="114"/>
      <c r="K152" s="301"/>
      <c r="L152" s="301"/>
      <c r="M152" s="301"/>
      <c r="N152" s="301"/>
      <c r="O152" s="301"/>
    </row>
    <row r="153" spans="1:15" x14ac:dyDescent="0.15">
      <c r="A153" s="63" t="s">
        <v>440</v>
      </c>
      <c r="B153" s="438"/>
      <c r="C153" s="438">
        <f>IF(ISERROR(C151/B151-1),"",C151/B151-1)</f>
        <v>0.46739130434782616</v>
      </c>
      <c r="D153" s="438">
        <f>IF(ISERROR(D151/C151-1),"",D151/C151-1)</f>
        <v>3.681481481481482</v>
      </c>
      <c r="E153" s="99" t="s">
        <v>446</v>
      </c>
      <c r="F153" s="439"/>
      <c r="G153" s="439"/>
      <c r="H153" s="439"/>
      <c r="I153" s="439"/>
      <c r="J153" s="107"/>
      <c r="K153" s="301"/>
      <c r="L153" s="301"/>
      <c r="M153" s="301"/>
      <c r="N153" s="301"/>
      <c r="O153" s="301"/>
    </row>
    <row r="154" spans="1:15" x14ac:dyDescent="0.15">
      <c r="A154" s="70" t="str">
        <f>Data!A25</f>
        <v>Property, plant, and equipment - at cost</v>
      </c>
      <c r="B154" s="500">
        <f>Data!E25</f>
        <v>3481.7</v>
      </c>
      <c r="C154" s="500">
        <f>Data!F25</f>
        <v>3867.7</v>
      </c>
      <c r="D154" s="500">
        <f>Data!G25</f>
        <v>4202</v>
      </c>
      <c r="E154" s="129">
        <f>'Forecast Development'!E42</f>
        <v>5681</v>
      </c>
      <c r="F154" s="129">
        <f>'Forecast Development'!F42</f>
        <v>7160</v>
      </c>
      <c r="G154" s="129">
        <f>'Forecast Development'!G42</f>
        <v>8639</v>
      </c>
      <c r="H154" s="129">
        <f>'Forecast Development'!H42</f>
        <v>10118</v>
      </c>
      <c r="I154" s="129">
        <f>'Forecast Development'!I42</f>
        <v>11597</v>
      </c>
      <c r="J154" s="8">
        <f>I154*$J$121</f>
        <v>12060.880000000001</v>
      </c>
      <c r="K154" s="301"/>
      <c r="L154" s="301"/>
      <c r="M154" s="301"/>
      <c r="N154" s="301"/>
      <c r="O154" s="301"/>
    </row>
    <row r="155" spans="1:15" x14ac:dyDescent="0.15">
      <c r="A155" s="63" t="s">
        <v>438</v>
      </c>
      <c r="B155" s="438">
        <f>B154/B$178</f>
        <v>7.4325737877798115E-2</v>
      </c>
      <c r="C155" s="438">
        <f>C154/C$178</f>
        <v>7.4586828656831555E-2</v>
      </c>
      <c r="D155" s="438">
        <f>D154/D$178</f>
        <v>7.4565154897486219E-2</v>
      </c>
      <c r="E155" s="104"/>
      <c r="F155" s="104"/>
      <c r="G155" s="104"/>
      <c r="H155" s="104"/>
      <c r="I155" s="104"/>
      <c r="J155" s="114"/>
      <c r="K155" s="301"/>
      <c r="L155" s="301"/>
      <c r="M155" s="301"/>
      <c r="N155" s="301"/>
      <c r="O155" s="301"/>
    </row>
    <row r="156" spans="1:15" x14ac:dyDescent="0.15">
      <c r="A156" s="63" t="s">
        <v>440</v>
      </c>
      <c r="B156" s="438"/>
      <c r="C156" s="438">
        <f>IF(ISERROR(C154/B154-1),"",C154/B154-1)</f>
        <v>0.11086538185369221</v>
      </c>
      <c r="D156" s="438">
        <f>IF(ISERROR(D154/C154-1),"",D154/C154-1)</f>
        <v>8.6433797864363893E-2</v>
      </c>
      <c r="E156" s="99" t="s">
        <v>463</v>
      </c>
      <c r="F156" s="439"/>
      <c r="G156" s="439"/>
      <c r="H156" s="439"/>
      <c r="I156" s="439"/>
      <c r="J156" s="119"/>
      <c r="K156" s="301"/>
      <c r="L156" s="301"/>
      <c r="M156" s="301"/>
      <c r="N156" s="301"/>
      <c r="O156" s="301"/>
    </row>
    <row r="157" spans="1:15" x14ac:dyDescent="0.15">
      <c r="A157" s="70" t="str">
        <f>Data!A26</f>
        <v>&lt;Accumulated depreciation&gt;</v>
      </c>
      <c r="B157" s="8">
        <f>Data!E26</f>
        <v>0</v>
      </c>
      <c r="C157" s="8">
        <f>Data!F26</f>
        <v>0</v>
      </c>
      <c r="D157" s="8">
        <f>Data!G26</f>
        <v>0</v>
      </c>
      <c r="E157" s="129">
        <f>'Forecast Development'!E47</f>
        <v>-378.73333333333335</v>
      </c>
      <c r="F157" s="129">
        <f>'Forecast Development'!F47</f>
        <v>-856.06666666666661</v>
      </c>
      <c r="G157" s="129">
        <f>'Forecast Development'!G47</f>
        <v>-1432</v>
      </c>
      <c r="H157" s="129">
        <f>'Forecast Development'!H47</f>
        <v>-2106.5333333333333</v>
      </c>
      <c r="I157" s="129">
        <f>'Forecast Development'!I47</f>
        <v>-2879.6666666666665</v>
      </c>
      <c r="J157" s="8">
        <f>I157*$J$121</f>
        <v>-2994.8533333333335</v>
      </c>
      <c r="K157" s="301"/>
      <c r="L157" s="301"/>
      <c r="M157" s="301"/>
      <c r="N157" s="301"/>
      <c r="O157" s="301"/>
    </row>
    <row r="158" spans="1:15" x14ac:dyDescent="0.15">
      <c r="A158" s="63" t="s">
        <v>438</v>
      </c>
      <c r="B158" s="438">
        <f>B157/B$178</f>
        <v>0</v>
      </c>
      <c r="C158" s="438">
        <f>C157/C$178</f>
        <v>0</v>
      </c>
      <c r="D158" s="438">
        <f>D157/D$178</f>
        <v>0</v>
      </c>
      <c r="E158" s="104"/>
      <c r="F158" s="104"/>
      <c r="G158" s="104"/>
      <c r="H158" s="104"/>
      <c r="I158" s="104"/>
      <c r="J158" s="114"/>
      <c r="K158" s="301"/>
      <c r="L158" s="301"/>
      <c r="M158" s="301"/>
      <c r="N158" s="301"/>
      <c r="O158" s="301"/>
    </row>
    <row r="159" spans="1:15" x14ac:dyDescent="0.15">
      <c r="A159" s="63" t="s">
        <v>440</v>
      </c>
      <c r="B159" s="438"/>
      <c r="C159" s="438" t="str">
        <f>IF(ISERROR(C157/B157-1),"",C157/B157-1)</f>
        <v/>
      </c>
      <c r="D159" s="438" t="str">
        <f>IF(ISERROR(D157/C157-1),"",D157/C157-1)</f>
        <v/>
      </c>
      <c r="E159" s="99" t="s">
        <v>464</v>
      </c>
      <c r="F159" s="439"/>
      <c r="G159" s="439"/>
      <c r="H159" s="439"/>
      <c r="I159" s="439"/>
      <c r="J159" s="115"/>
      <c r="K159" s="301"/>
      <c r="L159" s="301"/>
      <c r="M159" s="301"/>
      <c r="N159" s="301"/>
      <c r="O159" s="301"/>
    </row>
    <row r="160" spans="1:15" x14ac:dyDescent="0.15">
      <c r="A160" s="102" t="str">
        <f>Data!A27</f>
        <v>Operating lease right-of-use assets</v>
      </c>
      <c r="B160" s="102">
        <f>Data!E27</f>
        <v>1482.7</v>
      </c>
      <c r="C160" s="102">
        <f>Data!F27</f>
        <v>1692.4</v>
      </c>
      <c r="D160" s="102">
        <f>Data!G27</f>
        <v>1763.2</v>
      </c>
      <c r="E160" s="129">
        <f>D160*(1+E161)</f>
        <v>2383.8027605901952</v>
      </c>
      <c r="F160" s="129">
        <f>E160*(1+F161)</f>
        <v>3004.4055211803902</v>
      </c>
      <c r="G160" s="129">
        <f>F160*(1+G161)</f>
        <v>3625.0082817705852</v>
      </c>
      <c r="H160" s="129">
        <f>G160*(1+H161)</f>
        <v>4245.6110423607806</v>
      </c>
      <c r="I160" s="129">
        <f>H160*(1+I161)</f>
        <v>4866.2138029509752</v>
      </c>
      <c r="J160" s="8">
        <f>I160*$J$121</f>
        <v>5060.8623550690145</v>
      </c>
      <c r="K160" s="301"/>
      <c r="L160" s="301"/>
      <c r="M160" s="301"/>
      <c r="N160" s="301"/>
      <c r="O160" s="301"/>
    </row>
    <row r="161" spans="1:10" x14ac:dyDescent="0.15">
      <c r="A161" s="63" t="s">
        <v>438</v>
      </c>
      <c r="B161" s="438">
        <f>B160/B$178</f>
        <v>3.1652000905135792E-2</v>
      </c>
      <c r="C161" s="438">
        <f>C160/C$178</f>
        <v>3.2637161315205866E-2</v>
      </c>
      <c r="D161" s="438">
        <f>D160/D$178</f>
        <v>3.1288262997441148E-2</v>
      </c>
      <c r="E161" s="106">
        <f>(E154/D154)-1</f>
        <v>0.35197524988100914</v>
      </c>
      <c r="F161" s="106">
        <f>(F154/E154)-1</f>
        <v>0.26034148917444111</v>
      </c>
      <c r="G161" s="106">
        <f>(G154/F154)-1</f>
        <v>0.20656424581005584</v>
      </c>
      <c r="H161" s="106">
        <f>(H154/G154)-1</f>
        <v>0.17120037041324232</v>
      </c>
      <c r="I161" s="106">
        <f>(I154/H154)-1</f>
        <v>0.14617513342557809</v>
      </c>
      <c r="J161" s="114"/>
    </row>
    <row r="162" spans="1:10" x14ac:dyDescent="0.15">
      <c r="A162" s="63" t="s">
        <v>440</v>
      </c>
      <c r="B162" s="438"/>
      <c r="C162" s="438">
        <f>IF(ISERROR(C160/B160-1),"",C160/B160-1)</f>
        <v>0.14143117286032236</v>
      </c>
      <c r="D162" s="438">
        <f>IF(ISERROR(D160/C160-1),"",D160/C160-1)</f>
        <v>4.1834081777357479E-2</v>
      </c>
      <c r="E162" s="99" t="s">
        <v>465</v>
      </c>
      <c r="F162" s="439"/>
      <c r="G162" s="439"/>
      <c r="H162" s="439"/>
      <c r="I162" s="439"/>
      <c r="J162" s="115"/>
    </row>
    <row r="163" spans="1:10" x14ac:dyDescent="0.15">
      <c r="A163" s="70" t="str">
        <f>Data!A28</f>
        <v>Finance lease-right-of-use assets</v>
      </c>
      <c r="B163" s="8">
        <f>Data!E28</f>
        <v>0</v>
      </c>
      <c r="C163" s="8">
        <f>Data!F28</f>
        <v>0</v>
      </c>
      <c r="D163" s="8">
        <f>Data!G28</f>
        <v>0</v>
      </c>
      <c r="E163" s="129">
        <f>D163*(1+E164)</f>
        <v>0</v>
      </c>
      <c r="F163" s="129">
        <f>E163*(1+F164)</f>
        <v>0</v>
      </c>
      <c r="G163" s="129">
        <f>F163*(1+G164)</f>
        <v>0</v>
      </c>
      <c r="H163" s="129">
        <f>G163*(1+H164)</f>
        <v>0</v>
      </c>
      <c r="I163" s="129">
        <f>H163*(1+I164)</f>
        <v>0</v>
      </c>
      <c r="J163" s="8">
        <f>I163*$J$121</f>
        <v>0</v>
      </c>
    </row>
    <row r="164" spans="1:10" x14ac:dyDescent="0.15">
      <c r="A164" s="63" t="s">
        <v>438</v>
      </c>
      <c r="B164" s="438">
        <f>B163/B$178</f>
        <v>0</v>
      </c>
      <c r="C164" s="438">
        <f>C163/C$178</f>
        <v>0</v>
      </c>
      <c r="D164" s="438">
        <f>D163/D$178</f>
        <v>0</v>
      </c>
      <c r="E164" s="106"/>
      <c r="F164" s="106"/>
      <c r="G164" s="106"/>
      <c r="H164" s="106"/>
      <c r="I164" s="106"/>
      <c r="J164" s="114"/>
    </row>
    <row r="165" spans="1:10" x14ac:dyDescent="0.15">
      <c r="A165" s="63" t="s">
        <v>440</v>
      </c>
      <c r="B165" s="438"/>
      <c r="C165" s="438" t="str">
        <f>IF(ISERROR(C163/B163-1),"",C163/B163-1)</f>
        <v/>
      </c>
      <c r="D165" s="438" t="str">
        <f>IF(ISERROR(D163/C163-1),"",D163/C163-1)</f>
        <v/>
      </c>
      <c r="E165" s="99"/>
      <c r="F165" s="439"/>
      <c r="G165" s="439"/>
      <c r="H165" s="439"/>
      <c r="I165" s="439"/>
      <c r="J165" s="115"/>
    </row>
    <row r="166" spans="1:10" x14ac:dyDescent="0.15">
      <c r="A166" s="70" t="str">
        <f>Data!A29</f>
        <v>Goodwill</v>
      </c>
      <c r="B166" s="8">
        <f>Data!E29</f>
        <v>11717.7</v>
      </c>
      <c r="C166" s="8">
        <f>Data!F29</f>
        <v>13102.6</v>
      </c>
      <c r="D166" s="8">
        <f>Data!G29</f>
        <v>13382</v>
      </c>
      <c r="E166" s="129">
        <f>D166*(1+E167)</f>
        <v>14452.560000000001</v>
      </c>
      <c r="F166" s="129">
        <f>E166*(1+F167)</f>
        <v>15608.764800000003</v>
      </c>
      <c r="G166" s="129">
        <f>F166*(1+G167)</f>
        <v>16857.465984000002</v>
      </c>
      <c r="H166" s="129">
        <f>G166*(1+H167)</f>
        <v>18206.063262720003</v>
      </c>
      <c r="I166" s="129">
        <f>H166*(1+I167)</f>
        <v>19662.548323737603</v>
      </c>
      <c r="J166" s="8">
        <f>I166*$J$121</f>
        <v>20449.050256687107</v>
      </c>
    </row>
    <row r="167" spans="1:10" x14ac:dyDescent="0.15">
      <c r="A167" s="63" t="s">
        <v>438</v>
      </c>
      <c r="B167" s="438">
        <f>B166/B$178</f>
        <v>0.25014409591023784</v>
      </c>
      <c r="C167" s="438">
        <f>C166/C$178</f>
        <v>0.25267765885642662</v>
      </c>
      <c r="D167" s="438">
        <f>D166/D$178</f>
        <v>0.23746570748171361</v>
      </c>
      <c r="E167" s="106">
        <f>E22</f>
        <v>0.08</v>
      </c>
      <c r="F167" s="106">
        <f>F22</f>
        <v>0.08</v>
      </c>
      <c r="G167" s="106">
        <f>G22</f>
        <v>0.08</v>
      </c>
      <c r="H167" s="106">
        <f>H22</f>
        <v>0.08</v>
      </c>
      <c r="I167" s="106">
        <f>I22</f>
        <v>0.08</v>
      </c>
      <c r="J167" s="114"/>
    </row>
    <row r="168" spans="1:10" x14ac:dyDescent="0.15">
      <c r="A168" s="63" t="s">
        <v>440</v>
      </c>
      <c r="B168" s="438"/>
      <c r="C168" s="438">
        <f>IF(ISERROR(C166/B166-1),"",C166/B166-1)</f>
        <v>0.11818872304291794</v>
      </c>
      <c r="D168" s="438">
        <f>IF(ISERROR(D166/C166-1),"",D166/C166-1)</f>
        <v>2.1324012028147044E-2</v>
      </c>
      <c r="E168" s="99" t="s">
        <v>462</v>
      </c>
      <c r="F168" s="439"/>
      <c r="G168" s="439"/>
      <c r="H168" s="439"/>
      <c r="I168" s="439"/>
      <c r="J168" s="115"/>
    </row>
    <row r="169" spans="1:10" x14ac:dyDescent="0.15">
      <c r="A169" s="102" t="str">
        <f>Data!A30</f>
        <v>Other nonamortizable intangible assets</v>
      </c>
      <c r="B169" s="8">
        <f>Data!E30</f>
        <v>3640.1</v>
      </c>
      <c r="C169" s="8">
        <f>Data!F30</f>
        <v>4287.1000000000004</v>
      </c>
      <c r="D169" s="8">
        <f>Data!G30</f>
        <v>4594.8</v>
      </c>
      <c r="E169" s="129">
        <f>D169*(1+E170)</f>
        <v>4598.4758400000001</v>
      </c>
      <c r="F169" s="129">
        <f>E169*(1+F170)</f>
        <v>4598.4758400000001</v>
      </c>
      <c r="G169" s="129">
        <f>F169*(1+G170)</f>
        <v>4598.4758400000001</v>
      </c>
      <c r="H169" s="129">
        <f>G169*(1+H170)</f>
        <v>4598.4758400000001</v>
      </c>
      <c r="I169" s="129">
        <f>H169*(1+I170)</f>
        <v>4598.4758400000001</v>
      </c>
      <c r="J169" s="8">
        <f>I169*$J$121</f>
        <v>4782.4148736000006</v>
      </c>
    </row>
    <row r="170" spans="1:10" x14ac:dyDescent="0.15">
      <c r="A170" s="63" t="s">
        <v>438</v>
      </c>
      <c r="B170" s="438">
        <f>B169/B$178</f>
        <v>7.7707188571379773E-2</v>
      </c>
      <c r="C170" s="438">
        <f>C169/C$178</f>
        <v>8.2674766174910833E-2</v>
      </c>
      <c r="D170" s="438">
        <f>D169/D$178</f>
        <v>8.1535453051634857E-2</v>
      </c>
      <c r="E170" s="106">
        <v>8.0000000000000004E-4</v>
      </c>
      <c r="F170" s="106">
        <v>0</v>
      </c>
      <c r="G170" s="106">
        <v>0</v>
      </c>
      <c r="H170" s="106">
        <v>0</v>
      </c>
      <c r="I170" s="106">
        <v>0</v>
      </c>
      <c r="J170" s="114"/>
    </row>
    <row r="171" spans="1:10" x14ac:dyDescent="0.15">
      <c r="A171" s="63" t="s">
        <v>440</v>
      </c>
      <c r="B171" s="438"/>
      <c r="C171" s="438">
        <f>IF(ISERROR(C169/B169-1),"",C169/B169-1)</f>
        <v>0.17774236971511792</v>
      </c>
      <c r="D171" s="438">
        <f>IF(ISERROR(D169/C169-1),"",D169/C169-1)</f>
        <v>7.177345991462758E-2</v>
      </c>
      <c r="E171" s="99" t="s">
        <v>446</v>
      </c>
      <c r="F171" s="439"/>
      <c r="G171" s="439"/>
      <c r="H171" s="439"/>
      <c r="I171" s="439"/>
      <c r="J171" s="115"/>
    </row>
    <row r="172" spans="1:10" x14ac:dyDescent="0.15">
      <c r="A172" s="102" t="str">
        <f>Data!A31</f>
        <v>Deferred tax assets - non current</v>
      </c>
      <c r="B172" s="102">
        <f>Data!E31</f>
        <v>801.1</v>
      </c>
      <c r="C172" s="102">
        <f>Data!F31</f>
        <v>921.2</v>
      </c>
      <c r="D172" s="102">
        <f>Data!G31</f>
        <v>973.3</v>
      </c>
      <c r="E172" s="129">
        <f ca="1">E178*E173</f>
        <v>1112.2632818845454</v>
      </c>
      <c r="F172" s="129">
        <f t="shared" ref="F172:I172" ca="1" si="23">F178*F173</f>
        <v>1212.7810944411885</v>
      </c>
      <c r="G172" s="129">
        <f t="shared" ca="1" si="23"/>
        <v>1317.1541120683</v>
      </c>
      <c r="H172" s="129">
        <f t="shared" ca="1" si="23"/>
        <v>1425.8353377295625</v>
      </c>
      <c r="I172" s="129">
        <f t="shared" ca="1" si="23"/>
        <v>1539.3140146257522</v>
      </c>
      <c r="J172" s="8">
        <f ca="1">I172*$J$121</f>
        <v>1600.8865752107822</v>
      </c>
    </row>
    <row r="173" spans="1:10" x14ac:dyDescent="0.15">
      <c r="A173" s="63" t="s">
        <v>438</v>
      </c>
      <c r="B173" s="438">
        <f>B172/B$178</f>
        <v>1.7101516102451125E-2</v>
      </c>
      <c r="C173" s="438">
        <f>C172/C$178</f>
        <v>1.7764921415485493E-2</v>
      </c>
      <c r="D173" s="438">
        <f>D172/D$178</f>
        <v>1.727136250873949E-2</v>
      </c>
      <c r="E173" s="106">
        <v>1.7999999999999999E-2</v>
      </c>
      <c r="F173" s="106">
        <v>1.7999999999999999E-2</v>
      </c>
      <c r="G173" s="106">
        <v>1.7999999999999999E-2</v>
      </c>
      <c r="H173" s="106">
        <v>1.7999999999999999E-2</v>
      </c>
      <c r="I173" s="106">
        <v>1.7999999999999999E-2</v>
      </c>
      <c r="J173" s="114"/>
    </row>
    <row r="174" spans="1:10" x14ac:dyDescent="0.15">
      <c r="A174" s="63" t="s">
        <v>440</v>
      </c>
      <c r="B174" s="438"/>
      <c r="C174" s="438">
        <f>IF(ISERROR(C172/B172-1),"",C172/B172-1)</f>
        <v>0.14991886156534773</v>
      </c>
      <c r="D174" s="438">
        <f>IF(ISERROR(D172/C172-1),"",D172/C172-1)</f>
        <v>5.6556665219279045E-2</v>
      </c>
      <c r="E174" s="99" t="s">
        <v>466</v>
      </c>
      <c r="F174" s="439"/>
      <c r="G174" s="439"/>
      <c r="H174" s="439"/>
      <c r="I174" s="439"/>
      <c r="J174" s="115"/>
    </row>
    <row r="175" spans="1:10" x14ac:dyDescent="0.15">
      <c r="A175" s="70" t="str">
        <f>Data!A32</f>
        <v xml:space="preserve">Other long-term assets </v>
      </c>
      <c r="B175" s="8">
        <f>Data!E32</f>
        <v>11652.8</v>
      </c>
      <c r="C175" s="8">
        <f>Data!F32</f>
        <v>11631.6</v>
      </c>
      <c r="D175" s="8">
        <f>Data!G32</f>
        <v>14838.1</v>
      </c>
      <c r="E175" s="129">
        <f>D175*(1+E176)</f>
        <v>16025.148000000001</v>
      </c>
      <c r="F175" s="129">
        <f>E175*(1+F176)</f>
        <v>17307.159840000004</v>
      </c>
      <c r="G175" s="129">
        <f>F175*(1+G176)</f>
        <v>18691.732627200006</v>
      </c>
      <c r="H175" s="129">
        <f>G175*(1+H176)</f>
        <v>20187.071237376007</v>
      </c>
      <c r="I175" s="129">
        <f>H175*(1+I176)</f>
        <v>21802.03693636609</v>
      </c>
      <c r="J175" s="8">
        <f>I175*$J$121</f>
        <v>22674.118413820735</v>
      </c>
    </row>
    <row r="176" spans="1:10" x14ac:dyDescent="0.15">
      <c r="A176" s="63" t="s">
        <v>438</v>
      </c>
      <c r="B176" s="438">
        <f>B175/B$178</f>
        <v>0.24875864041772869</v>
      </c>
      <c r="C176" s="438">
        <f>C175/C$178</f>
        <v>0.22431009545849007</v>
      </c>
      <c r="D176" s="438">
        <f>D175/D$178</f>
        <v>0.26330443238562357</v>
      </c>
      <c r="E176" s="106">
        <f>E22</f>
        <v>0.08</v>
      </c>
      <c r="F176" s="106">
        <f>F22</f>
        <v>0.08</v>
      </c>
      <c r="G176" s="106">
        <f>G22</f>
        <v>0.08</v>
      </c>
      <c r="H176" s="106">
        <f>H22</f>
        <v>0.08</v>
      </c>
      <c r="I176" s="106">
        <f>I22</f>
        <v>0.08</v>
      </c>
      <c r="J176" s="114"/>
    </row>
    <row r="177" spans="1:14" x14ac:dyDescent="0.15">
      <c r="A177" s="63" t="s">
        <v>440</v>
      </c>
      <c r="B177" s="438"/>
      <c r="C177" s="438">
        <f>IF(ISERROR(C175/B175-1),"",C175/B175-1)</f>
        <v>-1.8193052313606461E-3</v>
      </c>
      <c r="D177" s="438">
        <f>IF(ISERROR(D175/C175-1),"",D175/C175-1)</f>
        <v>0.27567144674851263</v>
      </c>
      <c r="E177" s="99" t="s">
        <v>462</v>
      </c>
      <c r="F177" s="439"/>
      <c r="G177" s="439"/>
      <c r="H177" s="439"/>
      <c r="I177" s="439"/>
      <c r="J177" s="118"/>
      <c r="K177" s="301"/>
      <c r="L177" s="301"/>
      <c r="M177" s="301"/>
      <c r="N177" s="301"/>
    </row>
    <row r="178" spans="1:14" ht="14" thickBot="1" x14ac:dyDescent="0.2">
      <c r="A178" s="102" t="str">
        <f>Data!A33</f>
        <v xml:space="preserve">   Total Assets</v>
      </c>
      <c r="B178" s="108">
        <f>B148+B151+B154+B157+B160+B163+B166+B169+B172+B175</f>
        <v>46843.8</v>
      </c>
      <c r="C178" s="108">
        <f t="shared" ref="C178:J178" si="24">C148+C151+C154+C157+C160+C163+C166+C169+C172+C175</f>
        <v>51854.999999999993</v>
      </c>
      <c r="D178" s="108">
        <f t="shared" si="24"/>
        <v>56353.4</v>
      </c>
      <c r="E178" s="108">
        <f t="shared" ca="1" si="24"/>
        <v>61792.404549141414</v>
      </c>
      <c r="F178" s="108">
        <f t="shared" ca="1" si="24"/>
        <v>67376.727468954923</v>
      </c>
      <c r="G178" s="108">
        <f t="shared" ca="1" si="24"/>
        <v>73175.228448238893</v>
      </c>
      <c r="H178" s="108">
        <f t="shared" ca="1" si="24"/>
        <v>79213.074318309038</v>
      </c>
      <c r="I178" s="108">
        <f t="shared" ca="1" si="24"/>
        <v>85517.445256986233</v>
      </c>
      <c r="J178" s="108">
        <f t="shared" ca="1" si="24"/>
        <v>88938.143067265701</v>
      </c>
      <c r="K178" s="301"/>
      <c r="L178" s="301"/>
      <c r="M178" s="301"/>
      <c r="N178" s="301"/>
    </row>
    <row r="179" spans="1:14" ht="14" thickTop="1" x14ac:dyDescent="0.15">
      <c r="A179" s="63" t="s">
        <v>438</v>
      </c>
      <c r="B179" s="438">
        <f t="shared" ref="B179:J179" si="25">B178/B$178</f>
        <v>1</v>
      </c>
      <c r="C179" s="438">
        <f t="shared" si="25"/>
        <v>1</v>
      </c>
      <c r="D179" s="438">
        <f t="shared" si="25"/>
        <v>1</v>
      </c>
      <c r="E179" s="438">
        <f t="shared" ca="1" si="25"/>
        <v>1</v>
      </c>
      <c r="F179" s="438">
        <f t="shared" ca="1" si="25"/>
        <v>1</v>
      </c>
      <c r="G179" s="438">
        <f t="shared" ca="1" si="25"/>
        <v>1</v>
      </c>
      <c r="H179" s="438">
        <f t="shared" ca="1" si="25"/>
        <v>1</v>
      </c>
      <c r="I179" s="438">
        <f t="shared" ca="1" si="25"/>
        <v>1</v>
      </c>
      <c r="J179" s="438">
        <f t="shared" ca="1" si="25"/>
        <v>1</v>
      </c>
      <c r="K179" s="301"/>
      <c r="L179" s="301"/>
      <c r="M179" s="301"/>
      <c r="N179" s="301"/>
    </row>
    <row r="180" spans="1:14" x14ac:dyDescent="0.15">
      <c r="A180" s="63" t="s">
        <v>440</v>
      </c>
      <c r="B180" s="438"/>
      <c r="C180" s="438">
        <f t="shared" ref="C180:J180" si="26">IF(ISERROR(C178/B178-1),"",C178/B178-1)</f>
        <v>0.10697680376058272</v>
      </c>
      <c r="D180" s="438">
        <f t="shared" si="26"/>
        <v>8.6749590203452076E-2</v>
      </c>
      <c r="E180" s="438">
        <f t="shared" ca="1" si="26"/>
        <v>9.6515996357653844E-2</v>
      </c>
      <c r="F180" s="438">
        <f t="shared" ca="1" si="26"/>
        <v>9.0372319390362721E-2</v>
      </c>
      <c r="G180" s="438">
        <f t="shared" ca="1" si="26"/>
        <v>8.6060887744299208E-2</v>
      </c>
      <c r="H180" s="438">
        <f t="shared" ca="1" si="26"/>
        <v>8.2512156068512477E-2</v>
      </c>
      <c r="I180" s="438">
        <f t="shared" ca="1" si="26"/>
        <v>7.9587504877588477E-2</v>
      </c>
      <c r="J180" s="438">
        <f t="shared" ca="1" si="26"/>
        <v>4.0000000000000258E-2</v>
      </c>
      <c r="K180" s="301"/>
      <c r="L180" s="301"/>
      <c r="M180" s="301"/>
      <c r="N180" s="301"/>
    </row>
    <row r="181" spans="1:14" x14ac:dyDescent="0.15">
      <c r="A181" s="63"/>
      <c r="B181" s="438"/>
      <c r="C181" s="438"/>
      <c r="D181" s="438"/>
      <c r="E181" s="438"/>
      <c r="F181" s="438"/>
      <c r="G181" s="438"/>
      <c r="H181" s="438"/>
      <c r="I181" s="438"/>
      <c r="J181" s="438"/>
      <c r="K181" s="301"/>
      <c r="L181" s="301"/>
      <c r="M181" s="301"/>
      <c r="N181" s="301"/>
    </row>
    <row r="182" spans="1:14" x14ac:dyDescent="0.15">
      <c r="A182" s="70"/>
      <c r="B182" s="448"/>
      <c r="C182" s="448"/>
      <c r="D182" s="448"/>
      <c r="E182" s="448"/>
      <c r="F182" s="448"/>
      <c r="G182" s="448"/>
      <c r="H182" s="448"/>
      <c r="I182" s="448"/>
      <c r="J182" s="115"/>
      <c r="K182" s="301"/>
      <c r="L182" s="301"/>
      <c r="M182" s="301"/>
      <c r="N182" s="301"/>
    </row>
    <row r="183" spans="1:14" x14ac:dyDescent="0.15">
      <c r="A183" s="70" t="s">
        <v>467</v>
      </c>
      <c r="B183" s="315"/>
      <c r="C183" s="315"/>
      <c r="D183" s="315"/>
      <c r="E183" s="315"/>
      <c r="F183" s="315"/>
      <c r="G183" s="315"/>
      <c r="H183" s="315"/>
      <c r="I183" s="315"/>
      <c r="J183" s="301"/>
      <c r="K183" s="301"/>
      <c r="L183" s="301"/>
      <c r="M183" s="301"/>
      <c r="N183" s="315"/>
    </row>
    <row r="184" spans="1:14" x14ac:dyDescent="0.15">
      <c r="A184" s="102" t="str">
        <f>Data!A36</f>
        <v>Accounts payable</v>
      </c>
      <c r="B184" s="8">
        <f>Data!E36</f>
        <v>6345.6</v>
      </c>
      <c r="C184" s="8">
        <f>Data!F36</f>
        <v>6347</v>
      </c>
      <c r="D184" s="8">
        <f>Data!G36</f>
        <v>6468.5</v>
      </c>
      <c r="E184" s="129">
        <f>D184*(1+E185)</f>
        <v>6985.9800000000005</v>
      </c>
      <c r="F184" s="129">
        <f>E184*(1+F185)</f>
        <v>7544.858400000001</v>
      </c>
      <c r="G184" s="129">
        <f t="shared" ref="G184:I184" si="27">F184*(1+G185)</f>
        <v>8148.4470720000018</v>
      </c>
      <c r="H184" s="129">
        <f t="shared" si="27"/>
        <v>8800.3228377600026</v>
      </c>
      <c r="I184" s="129">
        <f t="shared" si="27"/>
        <v>9504.348664780804</v>
      </c>
      <c r="J184" s="8">
        <f>I184*$J$121</f>
        <v>9884.5226113720364</v>
      </c>
      <c r="K184" s="301"/>
      <c r="L184" s="301"/>
      <c r="M184" s="301"/>
      <c r="N184" s="449"/>
    </row>
    <row r="185" spans="1:14" x14ac:dyDescent="0.15">
      <c r="A185" s="63" t="s">
        <v>438</v>
      </c>
      <c r="B185" s="438">
        <f>B184/B$178</f>
        <v>0.13546296414893752</v>
      </c>
      <c r="C185" s="438">
        <f>C184/C$178</f>
        <v>0.12239899720374121</v>
      </c>
      <c r="D185" s="438">
        <f>D184/D$178</f>
        <v>0.11478455603388615</v>
      </c>
      <c r="E185" s="495">
        <v>0.08</v>
      </c>
      <c r="F185" s="495">
        <f>E185</f>
        <v>0.08</v>
      </c>
      <c r="G185" s="495">
        <f>F185</f>
        <v>0.08</v>
      </c>
      <c r="H185" s="495">
        <f>G185</f>
        <v>0.08</v>
      </c>
      <c r="I185" s="495">
        <f>H185</f>
        <v>0.08</v>
      </c>
      <c r="J185" s="114"/>
      <c r="K185" s="301"/>
      <c r="L185" s="301"/>
      <c r="M185" s="301"/>
      <c r="N185" s="301"/>
    </row>
    <row r="186" spans="1:14" x14ac:dyDescent="0.15">
      <c r="A186" s="63" t="s">
        <v>440</v>
      </c>
      <c r="B186" s="438"/>
      <c r="C186" s="438">
        <f>IF(ISERROR(C184/B184-1),"",C184/B184-1)</f>
        <v>2.2062531517885731E-4</v>
      </c>
      <c r="D186" s="438">
        <f>IF(ISERROR(D184/C184-1),"",D184/C184-1)</f>
        <v>1.9142902158500119E-2</v>
      </c>
      <c r="E186" s="99" t="s">
        <v>462</v>
      </c>
      <c r="F186" s="439"/>
      <c r="G186" s="439"/>
      <c r="H186" s="439"/>
      <c r="I186" s="439"/>
      <c r="J186" s="115"/>
      <c r="K186" s="301"/>
      <c r="L186" s="301"/>
      <c r="M186" s="301"/>
      <c r="N186" s="301"/>
    </row>
    <row r="187" spans="1:14" x14ac:dyDescent="0.15">
      <c r="A187" s="102" t="str">
        <f>Data!A37</f>
        <v>Current accrued liabilities</v>
      </c>
      <c r="B187" s="8">
        <f>Data!E37</f>
        <v>0</v>
      </c>
      <c r="C187" s="8">
        <f>Data!F37</f>
        <v>0</v>
      </c>
      <c r="D187" s="8">
        <f>Data!G37</f>
        <v>0</v>
      </c>
      <c r="E187" s="129">
        <v>0</v>
      </c>
      <c r="F187" s="129">
        <f>E187*(1+F188)</f>
        <v>0</v>
      </c>
      <c r="G187" s="129">
        <f>F187*(1+G188)</f>
        <v>0</v>
      </c>
      <c r="H187" s="129">
        <f>G187*(1+H188)</f>
        <v>0</v>
      </c>
      <c r="I187" s="129">
        <f>H187*(1+I188)</f>
        <v>0</v>
      </c>
      <c r="J187" s="8">
        <f>I187*$J$121</f>
        <v>0</v>
      </c>
      <c r="K187" s="301"/>
      <c r="L187" s="301"/>
      <c r="M187" s="301"/>
      <c r="N187" s="301"/>
    </row>
    <row r="188" spans="1:14" x14ac:dyDescent="0.15">
      <c r="A188" s="63" t="s">
        <v>438</v>
      </c>
      <c r="B188" s="438">
        <f>B187/B$178</f>
        <v>0</v>
      </c>
      <c r="C188" s="438">
        <f>C187/C$178</f>
        <v>0</v>
      </c>
      <c r="D188" s="438">
        <f>D187/D$178</f>
        <v>0</v>
      </c>
      <c r="E188" s="106">
        <v>0</v>
      </c>
      <c r="F188" s="106">
        <v>0</v>
      </c>
      <c r="G188" s="106">
        <v>0</v>
      </c>
      <c r="H188" s="106">
        <v>0</v>
      </c>
      <c r="I188" s="106">
        <v>0</v>
      </c>
      <c r="J188" s="114"/>
      <c r="K188" s="301"/>
      <c r="L188" s="301"/>
      <c r="M188" s="301"/>
      <c r="N188" s="301"/>
    </row>
    <row r="189" spans="1:14" x14ac:dyDescent="0.15">
      <c r="A189" s="63" t="s">
        <v>440</v>
      </c>
      <c r="B189" s="438"/>
      <c r="C189" s="438" t="str">
        <f>IF(ISERROR(C187/B187-1),"",C187/B187-1)</f>
        <v/>
      </c>
      <c r="D189" s="438" t="str">
        <f>IF(ISERROR(D187/C187-1),"",D187/C187-1)</f>
        <v/>
      </c>
      <c r="E189" s="99"/>
      <c r="F189" s="439"/>
      <c r="G189" s="439"/>
      <c r="H189" s="439"/>
      <c r="I189" s="439"/>
      <c r="J189" s="115"/>
      <c r="K189" s="301"/>
      <c r="L189" s="301"/>
      <c r="M189" s="301"/>
      <c r="N189" s="301"/>
    </row>
    <row r="190" spans="1:14" x14ac:dyDescent="0.15">
      <c r="A190" s="102" t="str">
        <f>Data!A38</f>
        <v>Current maturities of long-term debt</v>
      </c>
      <c r="B190" s="8">
        <f>Data!E38</f>
        <v>0</v>
      </c>
      <c r="C190" s="8">
        <f>Data!F38</f>
        <v>0</v>
      </c>
      <c r="D190" s="8">
        <f>Data!G38</f>
        <v>0</v>
      </c>
      <c r="E190" s="129">
        <f>D190*(1+E191)</f>
        <v>0</v>
      </c>
      <c r="F190" s="129">
        <f>E190*(1+F191)</f>
        <v>0</v>
      </c>
      <c r="G190" s="129">
        <f>F190*(1+G191)</f>
        <v>0</v>
      </c>
      <c r="H190" s="129">
        <f>G190*(1+H191)</f>
        <v>0</v>
      </c>
      <c r="I190" s="129">
        <f>H190*(1+I191)</f>
        <v>0</v>
      </c>
      <c r="J190" s="8">
        <f>I190*$J$121</f>
        <v>0</v>
      </c>
      <c r="K190" s="301"/>
      <c r="L190" s="301"/>
      <c r="M190" s="301"/>
      <c r="N190" s="301"/>
    </row>
    <row r="191" spans="1:14" x14ac:dyDescent="0.15">
      <c r="A191" s="63" t="s">
        <v>438</v>
      </c>
      <c r="B191" s="438">
        <f>B190/B$178</f>
        <v>0</v>
      </c>
      <c r="C191" s="438">
        <f>C190/C$178</f>
        <v>0</v>
      </c>
      <c r="D191" s="438">
        <f>D190/D$178</f>
        <v>0</v>
      </c>
      <c r="E191" s="106">
        <v>0</v>
      </c>
      <c r="F191" s="106">
        <f>E191</f>
        <v>0</v>
      </c>
      <c r="G191" s="106">
        <f>F191</f>
        <v>0</v>
      </c>
      <c r="H191" s="106">
        <f>G191</f>
        <v>0</v>
      </c>
      <c r="I191" s="106">
        <f>H191</f>
        <v>0</v>
      </c>
      <c r="J191" s="114"/>
      <c r="K191" s="301"/>
      <c r="L191" s="301"/>
      <c r="M191" s="315"/>
      <c r="N191" s="301"/>
    </row>
    <row r="192" spans="1:14" x14ac:dyDescent="0.15">
      <c r="A192" s="63" t="s">
        <v>440</v>
      </c>
      <c r="B192" s="438"/>
      <c r="C192" s="438" t="str">
        <f>IF(ISERROR(C190/B190-1),"",C190/B190-1)</f>
        <v/>
      </c>
      <c r="D192" s="438" t="str">
        <f>IF(ISERROR(D190/C190-1),"",D190/C190-1)</f>
        <v/>
      </c>
      <c r="E192" s="99"/>
      <c r="F192" s="439"/>
      <c r="G192" s="439"/>
      <c r="H192" s="439"/>
      <c r="I192" s="439"/>
      <c r="J192" s="107"/>
      <c r="K192" s="301"/>
      <c r="L192" s="301"/>
      <c r="M192" s="315"/>
      <c r="N192" s="301"/>
    </row>
    <row r="193" spans="1:14" x14ac:dyDescent="0.15">
      <c r="A193" s="70" t="str">
        <f>Data!A39</f>
        <v>Notes payable and short-term debt + Current maturities of long-term debt</v>
      </c>
      <c r="B193" s="8">
        <f>Data!E39</f>
        <v>1012.8</v>
      </c>
      <c r="C193" s="8">
        <f>Data!F39</f>
        <v>2091.5</v>
      </c>
      <c r="D193" s="8">
        <f>Data!G39</f>
        <v>1381.1</v>
      </c>
      <c r="E193" s="129">
        <f>D193*(1+E194)</f>
        <v>1422.5329999999999</v>
      </c>
      <c r="F193" s="129">
        <f>E193*(1+F194)</f>
        <v>1465.2089899999999</v>
      </c>
      <c r="G193" s="129">
        <f>F193*(1+G194)</f>
        <v>1509.1652597</v>
      </c>
      <c r="H193" s="129">
        <f>G193*(1+H194)</f>
        <v>1554.4402174910001</v>
      </c>
      <c r="I193" s="129">
        <f>H193*(1+I194)</f>
        <v>1601.0734240157301</v>
      </c>
      <c r="J193" s="8">
        <f>I193*$J$121</f>
        <v>1665.1163609763594</v>
      </c>
      <c r="K193" s="301"/>
      <c r="L193" s="301"/>
      <c r="M193" s="315"/>
      <c r="N193" s="301"/>
    </row>
    <row r="194" spans="1:14" x14ac:dyDescent="0.15">
      <c r="A194" s="63" t="s">
        <v>438</v>
      </c>
      <c r="B194" s="438">
        <f>B193/B$178</f>
        <v>2.1620790798355383E-2</v>
      </c>
      <c r="C194" s="438">
        <f>C193/C$178</f>
        <v>4.0333622601484917E-2</v>
      </c>
      <c r="D194" s="438">
        <f>D193/D$178</f>
        <v>2.4507838036391769E-2</v>
      </c>
      <c r="E194" s="106">
        <v>0.03</v>
      </c>
      <c r="F194" s="106">
        <f>E194</f>
        <v>0.03</v>
      </c>
      <c r="G194" s="106">
        <f>F194</f>
        <v>0.03</v>
      </c>
      <c r="H194" s="106">
        <f>G194</f>
        <v>0.03</v>
      </c>
      <c r="I194" s="106">
        <f>H194</f>
        <v>0.03</v>
      </c>
      <c r="J194" s="114"/>
      <c r="K194" s="301"/>
      <c r="L194" s="301"/>
      <c r="M194" s="301"/>
      <c r="N194" s="315"/>
    </row>
    <row r="195" spans="1:14" x14ac:dyDescent="0.15">
      <c r="A195" s="63" t="s">
        <v>440</v>
      </c>
      <c r="B195" s="438"/>
      <c r="C195" s="438">
        <f>IF(ISERROR(C193/B193-1),"",C193/B193-1)</f>
        <v>1.0650671406003163</v>
      </c>
      <c r="D195" s="438">
        <f>IF(ISERROR(D193/C193-1),"",D193/C193-1)</f>
        <v>-0.33966053071957925</v>
      </c>
      <c r="E195" s="99" t="s">
        <v>468</v>
      </c>
      <c r="F195" s="439"/>
      <c r="G195" s="439"/>
      <c r="H195" s="439"/>
      <c r="I195" s="439"/>
      <c r="J195" s="120"/>
      <c r="K195" s="301"/>
      <c r="L195" s="301"/>
      <c r="M195" s="301"/>
      <c r="N195" s="449"/>
    </row>
    <row r="196" spans="1:14" x14ac:dyDescent="0.15">
      <c r="A196" s="102" t="str">
        <f>Data!A40</f>
        <v>Operating lease obligations due within one year</v>
      </c>
      <c r="B196" s="8">
        <f>Data!E40</f>
        <v>407</v>
      </c>
      <c r="C196" s="8">
        <f>Data!F40</f>
        <v>459.8</v>
      </c>
      <c r="D196" s="8">
        <f>Data!G40</f>
        <v>468.6</v>
      </c>
      <c r="E196" s="129">
        <f>D196*(1+E197)</f>
        <v>633.53560209424097</v>
      </c>
      <c r="F196" s="129">
        <f>E196*(1+F197)</f>
        <v>798.47120418848181</v>
      </c>
      <c r="G196" s="129">
        <f>F196*(1+G197)</f>
        <v>963.40680628272264</v>
      </c>
      <c r="H196" s="129">
        <f>G196*(1+H197)</f>
        <v>1128.3424083769635</v>
      </c>
      <c r="I196" s="129">
        <f>H196*(1+I197)</f>
        <v>1293.2780104712042</v>
      </c>
      <c r="J196" s="8">
        <f>I196*$J$121</f>
        <v>1345.0091308900523</v>
      </c>
      <c r="K196" s="301"/>
      <c r="L196" s="301"/>
      <c r="M196" s="301"/>
      <c r="N196" s="301"/>
    </row>
    <row r="197" spans="1:14" x14ac:dyDescent="0.15">
      <c r="A197" s="63" t="s">
        <v>438</v>
      </c>
      <c r="B197" s="438">
        <f>B196/B$178</f>
        <v>8.6884496987861774E-3</v>
      </c>
      <c r="C197" s="438">
        <f>C196/C$178</f>
        <v>8.8670330729919977E-3</v>
      </c>
      <c r="D197" s="438">
        <f>D196/D$178</f>
        <v>8.3153811482536994E-3</v>
      </c>
      <c r="E197" s="106">
        <f>(E154/D154)-1</f>
        <v>0.35197524988100914</v>
      </c>
      <c r="F197" s="106">
        <f>(F154/E154)-1</f>
        <v>0.26034148917444111</v>
      </c>
      <c r="G197" s="106">
        <f>(G154/F154)-1</f>
        <v>0.20656424581005584</v>
      </c>
      <c r="H197" s="106">
        <f>(H154/G154)-1</f>
        <v>0.17120037041324232</v>
      </c>
      <c r="I197" s="106">
        <f>(I154/H154)-1</f>
        <v>0.14617513342557809</v>
      </c>
      <c r="J197" s="114"/>
      <c r="K197" s="301"/>
      <c r="L197" s="301"/>
      <c r="M197" s="301"/>
      <c r="N197" s="301"/>
    </row>
    <row r="198" spans="1:14" x14ac:dyDescent="0.15">
      <c r="A198" s="63" t="s">
        <v>440</v>
      </c>
      <c r="B198" s="438"/>
      <c r="C198" s="438">
        <f>IF(ISERROR(C196/B196-1),"",C196/B196-1)</f>
        <v>0.12972972972972974</v>
      </c>
      <c r="D198" s="438">
        <f>IF(ISERROR(D196/C196-1),"",D196/C196-1)</f>
        <v>1.9138755980861344E-2</v>
      </c>
      <c r="E198" s="99" t="s">
        <v>469</v>
      </c>
      <c r="F198" s="439"/>
      <c r="G198" s="439"/>
      <c r="H198" s="439"/>
      <c r="I198" s="439"/>
      <c r="J198" s="107"/>
      <c r="K198" s="301"/>
      <c r="L198" s="301"/>
      <c r="M198" s="301"/>
      <c r="N198" s="301"/>
    </row>
    <row r="199" spans="1:14" x14ac:dyDescent="0.15">
      <c r="A199" s="102" t="str">
        <f>Data!A41</f>
        <v>Provisions for liabilities and charges</v>
      </c>
      <c r="B199" s="8">
        <f>Data!E41</f>
        <v>1205.5999999999999</v>
      </c>
      <c r="C199" s="8">
        <f>Data!F41</f>
        <v>977.2</v>
      </c>
      <c r="D199" s="8">
        <f>Data!G41</f>
        <v>1093.0999999999999</v>
      </c>
      <c r="E199" s="129">
        <f>D199*(1+E200)</f>
        <v>1477.8441456449309</v>
      </c>
      <c r="F199" s="129">
        <f>E199*(1+F200)</f>
        <v>1862.5882912898619</v>
      </c>
      <c r="G199" s="129">
        <f>F199*(1+G200)</f>
        <v>2247.3324369347929</v>
      </c>
      <c r="H199" s="129">
        <f>G199*(1+H200)</f>
        <v>2632.0765825797239</v>
      </c>
      <c r="I199" s="129">
        <f>H199*(1+I200)</f>
        <v>3016.8207282246544</v>
      </c>
      <c r="J199" s="8">
        <f>I199*$J$121</f>
        <v>3137.4935573536409</v>
      </c>
      <c r="K199" s="301"/>
      <c r="L199" s="301"/>
      <c r="M199" s="301"/>
      <c r="N199" s="301"/>
    </row>
    <row r="200" spans="1:14" x14ac:dyDescent="0.15">
      <c r="A200" s="63" t="s">
        <v>438</v>
      </c>
      <c r="B200" s="438">
        <f>B199/B$178</f>
        <v>2.5736596945593649E-2</v>
      </c>
      <c r="C200" s="438">
        <f>C199/C$178</f>
        <v>1.88448558480378E-2</v>
      </c>
      <c r="D200" s="438">
        <f>D199/D$178</f>
        <v>1.9397232465121889E-2</v>
      </c>
      <c r="E200" s="106">
        <f>(E154/D154)-1</f>
        <v>0.35197524988100914</v>
      </c>
      <c r="F200" s="106">
        <f>(F154/E154)-1</f>
        <v>0.26034148917444111</v>
      </c>
      <c r="G200" s="106">
        <f>(G154/F154)-1</f>
        <v>0.20656424581005584</v>
      </c>
      <c r="H200" s="106">
        <f>(H154/G154)-1</f>
        <v>0.17120037041324232</v>
      </c>
      <c r="I200" s="106">
        <f>(I154/H154)-1</f>
        <v>0.14617513342557809</v>
      </c>
      <c r="J200" s="114"/>
      <c r="K200" s="301"/>
      <c r="L200" s="301"/>
      <c r="M200" s="301"/>
      <c r="N200" s="301"/>
    </row>
    <row r="201" spans="1:14" x14ac:dyDescent="0.15">
      <c r="A201" s="63" t="s">
        <v>440</v>
      </c>
      <c r="B201" s="438"/>
      <c r="C201" s="438">
        <f>IF(ISERROR(C199/B199-1),"",C199/B199-1)</f>
        <v>-0.18944923689449222</v>
      </c>
      <c r="D201" s="438">
        <f>IF(ISERROR(D199/C199-1),"",D199/C199-1)</f>
        <v>0.11860417519443289</v>
      </c>
      <c r="E201" s="99" t="s">
        <v>469</v>
      </c>
      <c r="F201" s="439"/>
      <c r="G201" s="439"/>
      <c r="H201" s="439"/>
      <c r="I201" s="439"/>
      <c r="J201" s="118"/>
      <c r="K201" s="301"/>
      <c r="L201" s="301"/>
      <c r="M201" s="301"/>
      <c r="N201" s="301"/>
    </row>
    <row r="202" spans="1:14" x14ac:dyDescent="0.15">
      <c r="A202" s="102" t="str">
        <f>Data!A42</f>
        <v>Income taxes payable</v>
      </c>
      <c r="B202" s="8">
        <f>Data!E42</f>
        <v>264.2</v>
      </c>
      <c r="C202" s="8">
        <f>Data!F42</f>
        <v>208.1</v>
      </c>
      <c r="D202" s="8">
        <f>Data!G42</f>
        <v>275.10000000000002</v>
      </c>
      <c r="E202" s="129">
        <f ca="1">E203*E178</f>
        <v>308.96202274570709</v>
      </c>
      <c r="F202" s="129">
        <f t="shared" ref="F202:I202" ca="1" si="28">F203*F178</f>
        <v>336.88363734477463</v>
      </c>
      <c r="G202" s="129">
        <f t="shared" ca="1" si="28"/>
        <v>365.87614224119449</v>
      </c>
      <c r="H202" s="129">
        <f t="shared" ca="1" si="28"/>
        <v>396.06537159154522</v>
      </c>
      <c r="I202" s="129">
        <f t="shared" ca="1" si="28"/>
        <v>427.58722628493115</v>
      </c>
      <c r="J202" s="8">
        <f ca="1">I202*$J$121</f>
        <v>444.69071533632842</v>
      </c>
      <c r="K202" s="301"/>
      <c r="L202" s="301"/>
      <c r="M202" s="301"/>
      <c r="N202" s="301"/>
    </row>
    <row r="203" spans="1:14" x14ac:dyDescent="0.15">
      <c r="A203" s="63" t="s">
        <v>438</v>
      </c>
      <c r="B203" s="438">
        <f>B202/B$178</f>
        <v>5.6400206644209045E-3</v>
      </c>
      <c r="C203" s="438">
        <f>C202/C$178</f>
        <v>4.0131134895381353E-3</v>
      </c>
      <c r="D203" s="438">
        <f>D202/D$178</f>
        <v>4.8816930300567491E-3</v>
      </c>
      <c r="E203" s="106">
        <v>5.0000000000000001E-3</v>
      </c>
      <c r="F203" s="106">
        <f>E203</f>
        <v>5.0000000000000001E-3</v>
      </c>
      <c r="G203" s="106">
        <f>F203</f>
        <v>5.0000000000000001E-3</v>
      </c>
      <c r="H203" s="106">
        <f>G203</f>
        <v>5.0000000000000001E-3</v>
      </c>
      <c r="I203" s="106">
        <f>H203</f>
        <v>5.0000000000000001E-3</v>
      </c>
      <c r="J203" s="114"/>
      <c r="K203" s="301"/>
      <c r="L203" s="301"/>
      <c r="M203" s="301"/>
      <c r="N203" s="301"/>
    </row>
    <row r="204" spans="1:14" x14ac:dyDescent="0.15">
      <c r="A204" s="63" t="s">
        <v>440</v>
      </c>
      <c r="B204" s="438"/>
      <c r="C204" s="438">
        <f>IF(ISERROR(C202/B202-1),"",C202/B202-1)</f>
        <v>-0.21233913701741103</v>
      </c>
      <c r="D204" s="438">
        <f>IF(ISERROR(D202/C202-1),"",D202/C202-1)</f>
        <v>0.32196059586737169</v>
      </c>
      <c r="E204" s="99" t="s">
        <v>470</v>
      </c>
      <c r="F204" s="439"/>
      <c r="G204" s="439"/>
      <c r="H204" s="439"/>
      <c r="I204" s="439"/>
      <c r="J204" s="118"/>
      <c r="K204" s="301"/>
      <c r="L204" s="301"/>
      <c r="M204" s="301"/>
      <c r="N204" s="301"/>
    </row>
    <row r="205" spans="1:14" x14ac:dyDescent="0.15">
      <c r="A205" s="102" t="str">
        <f>Data!A43</f>
        <v>Other current liabilities (1)</v>
      </c>
      <c r="B205" s="8">
        <f>Data!E43</f>
        <v>4484.6000000000004</v>
      </c>
      <c r="C205" s="8">
        <f>Data!F43</f>
        <v>4816.1000000000004</v>
      </c>
      <c r="D205" s="8">
        <f>Data!G43</f>
        <v>4949.6000000000004</v>
      </c>
      <c r="E205" s="129">
        <f ca="1">E206*E178</f>
        <v>5561.3164094227268</v>
      </c>
      <c r="F205" s="129">
        <f t="shared" ref="F205:I205" ca="1" si="29">F206*F178</f>
        <v>6063.9054722059427</v>
      </c>
      <c r="G205" s="129">
        <f t="shared" ca="1" si="29"/>
        <v>6585.7705603414997</v>
      </c>
      <c r="H205" s="129">
        <f t="shared" ca="1" si="29"/>
        <v>7129.1766886478135</v>
      </c>
      <c r="I205" s="129">
        <f t="shared" ca="1" si="29"/>
        <v>7696.5700731287607</v>
      </c>
      <c r="J205" s="8">
        <f ca="1">I205*$J$121</f>
        <v>8004.4328760539111</v>
      </c>
      <c r="K205" s="301"/>
      <c r="L205" s="301"/>
      <c r="M205" s="301"/>
      <c r="N205" s="301"/>
    </row>
    <row r="206" spans="1:14" x14ac:dyDescent="0.15">
      <c r="A206" s="63" t="s">
        <v>438</v>
      </c>
      <c r="B206" s="438">
        <f>B205/B$178</f>
        <v>9.5735188007804659E-2</v>
      </c>
      <c r="C206" s="438">
        <f>C205/C$178</f>
        <v>9.2876289653842467E-2</v>
      </c>
      <c r="D206" s="438">
        <f>D205/D$178</f>
        <v>8.783143519290762E-2</v>
      </c>
      <c r="E206" s="106">
        <v>0.09</v>
      </c>
      <c r="F206" s="106">
        <f>E206</f>
        <v>0.09</v>
      </c>
      <c r="G206" s="106">
        <f>F206</f>
        <v>0.09</v>
      </c>
      <c r="H206" s="106">
        <f>G206</f>
        <v>0.09</v>
      </c>
      <c r="I206" s="106">
        <f>H206</f>
        <v>0.09</v>
      </c>
      <c r="J206" s="114"/>
      <c r="K206" s="301"/>
      <c r="L206" s="301"/>
      <c r="M206" s="301"/>
      <c r="N206" s="301"/>
    </row>
    <row r="207" spans="1:14" x14ac:dyDescent="0.15">
      <c r="A207" s="63" t="s">
        <v>440</v>
      </c>
      <c r="B207" s="438"/>
      <c r="C207" s="438">
        <f>IF(ISERROR(C205/B205-1),"",C205/B205-1)</f>
        <v>7.3919636087945495E-2</v>
      </c>
      <c r="D207" s="438">
        <f>IF(ISERROR(D205/C205-1),"",D205/C205-1)</f>
        <v>2.7719524096260439E-2</v>
      </c>
      <c r="E207" s="99" t="s">
        <v>446</v>
      </c>
      <c r="F207" s="439"/>
      <c r="G207" s="439"/>
      <c r="H207" s="439"/>
      <c r="I207" s="439"/>
      <c r="J207" s="118"/>
      <c r="K207" s="301"/>
      <c r="L207" s="301"/>
      <c r="M207" s="301"/>
      <c r="N207" s="301"/>
    </row>
    <row r="208" spans="1:14" x14ac:dyDescent="0.15">
      <c r="A208" s="102" t="str">
        <f>Data!A44</f>
        <v xml:space="preserve">  Current Liabilities</v>
      </c>
      <c r="B208" s="100">
        <f>B184+B187+B190+B193+B196+B199+B202+B205</f>
        <v>13719.800000000001</v>
      </c>
      <c r="C208" s="100">
        <f t="shared" ref="C208:I208" si="30">C184+C187+C190+C193+C196+C199+C202+C205</f>
        <v>14899.7</v>
      </c>
      <c r="D208" s="100">
        <f t="shared" si="30"/>
        <v>14636.000000000002</v>
      </c>
      <c r="E208" s="100">
        <f ca="1">E184+E187+E190+E193+E196+E199+E202+E205</f>
        <v>16390.171179907607</v>
      </c>
      <c r="F208" s="100">
        <f t="shared" ca="1" si="30"/>
        <v>18071.91599502906</v>
      </c>
      <c r="G208" s="100">
        <f t="shared" ca="1" si="30"/>
        <v>19819.998277500214</v>
      </c>
      <c r="H208" s="100">
        <f t="shared" ca="1" si="30"/>
        <v>21640.424106447048</v>
      </c>
      <c r="I208" s="100">
        <f t="shared" ca="1" si="30"/>
        <v>23539.678126906085</v>
      </c>
      <c r="J208" s="100">
        <f ca="1">J184+J187+J190+J193+J196+J199+J202+J205</f>
        <v>24481.265251982328</v>
      </c>
      <c r="K208" s="301"/>
      <c r="L208" s="301"/>
      <c r="M208" s="301"/>
      <c r="N208" s="301"/>
    </row>
    <row r="209" spans="1:10" x14ac:dyDescent="0.15">
      <c r="A209" s="63" t="s">
        <v>438</v>
      </c>
      <c r="B209" s="438">
        <f t="shared" ref="B209:J209" si="31">B208/B$178</f>
        <v>0.29288401026389832</v>
      </c>
      <c r="C209" s="438">
        <f t="shared" si="31"/>
        <v>0.28733391186963653</v>
      </c>
      <c r="D209" s="438">
        <f t="shared" si="31"/>
        <v>0.25971813590661791</v>
      </c>
      <c r="E209" s="438">
        <f t="shared" ca="1" si="31"/>
        <v>0.26524572557899179</v>
      </c>
      <c r="F209" s="438">
        <f t="shared" ca="1" si="31"/>
        <v>0.26822193172495695</v>
      </c>
      <c r="G209" s="438">
        <f t="shared" ca="1" si="31"/>
        <v>0.27085666417181131</v>
      </c>
      <c r="H209" s="438">
        <f t="shared" ca="1" si="31"/>
        <v>0.27319257954169762</v>
      </c>
      <c r="I209" s="438">
        <f t="shared" ca="1" si="31"/>
        <v>0.27526170895502799</v>
      </c>
      <c r="J209" s="438">
        <f t="shared" ca="1" si="31"/>
        <v>0.27526170895502794</v>
      </c>
    </row>
    <row r="210" spans="1:10" x14ac:dyDescent="0.15">
      <c r="A210" s="63" t="s">
        <v>440</v>
      </c>
      <c r="B210" s="438"/>
      <c r="C210" s="438">
        <f t="shared" ref="C210:I210" si="32">IF(ISERROR(C208/B208-1),"",C208/B208-1)</f>
        <v>8.5999795915392419E-2</v>
      </c>
      <c r="D210" s="438">
        <f t="shared" si="32"/>
        <v>-1.7698342919655996E-2</v>
      </c>
      <c r="E210" s="438">
        <f t="shared" ca="1" si="32"/>
        <v>0.1198531825572291</v>
      </c>
      <c r="F210" s="438">
        <f t="shared" ca="1" si="32"/>
        <v>0.10260690975473574</v>
      </c>
      <c r="G210" s="438">
        <f t="shared" ca="1" si="32"/>
        <v>9.6729216921547678E-2</v>
      </c>
      <c r="H210" s="438">
        <f t="shared" ca="1" si="32"/>
        <v>9.1847930734352934E-2</v>
      </c>
      <c r="I210" s="438">
        <f t="shared" ca="1" si="32"/>
        <v>8.7764177407836375E-2</v>
      </c>
      <c r="J210" s="438"/>
    </row>
    <row r="211" spans="1:10" x14ac:dyDescent="0.15">
      <c r="A211" s="70" t="str">
        <f>Data!A45</f>
        <v>Long-term debt obligations</v>
      </c>
      <c r="B211" s="8">
        <f>Data!E45</f>
        <v>3017.6</v>
      </c>
      <c r="C211" s="8">
        <f>Data!F45</f>
        <v>4746.7</v>
      </c>
      <c r="D211" s="8">
        <f>Data!G45</f>
        <v>5187.1000000000004</v>
      </c>
      <c r="E211" s="129">
        <f>D211*(1+E212)</f>
        <v>5342.7130000000006</v>
      </c>
      <c r="F211" s="129">
        <f>E211*(1+F212)</f>
        <v>5502.9943900000007</v>
      </c>
      <c r="G211" s="129">
        <f>F211*(1+G212)</f>
        <v>5668.0842217000009</v>
      </c>
      <c r="H211" s="129">
        <f>G211*(1+H212)</f>
        <v>5838.126748351001</v>
      </c>
      <c r="I211" s="129">
        <f>H211*(1+I212)</f>
        <v>6013.2705508015315</v>
      </c>
      <c r="J211" s="8">
        <f>I211*$J$121</f>
        <v>6253.8013728335927</v>
      </c>
    </row>
    <row r="212" spans="1:10" x14ac:dyDescent="0.15">
      <c r="A212" s="63" t="s">
        <v>438</v>
      </c>
      <c r="B212" s="438">
        <f>B211/B$178</f>
        <v>6.441834351611099E-2</v>
      </c>
      <c r="C212" s="438">
        <f>C211/C$178</f>
        <v>9.1537942339215125E-2</v>
      </c>
      <c r="D212" s="438">
        <f>D211/D$178</f>
        <v>9.2045910273381909E-2</v>
      </c>
      <c r="E212" s="106">
        <v>0.03</v>
      </c>
      <c r="F212" s="106">
        <f>E212</f>
        <v>0.03</v>
      </c>
      <c r="G212" s="106">
        <f>F212</f>
        <v>0.03</v>
      </c>
      <c r="H212" s="106">
        <f>G212</f>
        <v>0.03</v>
      </c>
      <c r="I212" s="106">
        <f>H212</f>
        <v>0.03</v>
      </c>
      <c r="J212" s="114"/>
    </row>
    <row r="213" spans="1:10" x14ac:dyDescent="0.15">
      <c r="A213" s="63" t="s">
        <v>440</v>
      </c>
      <c r="B213" s="438"/>
      <c r="C213" s="438">
        <f>IF(ISERROR(C211/B211-1),"",C211/B211-1)</f>
        <v>0.57300503711558859</v>
      </c>
      <c r="D213" s="438">
        <f>IF(ISERROR(D211/C211-1),"",D211/C211-1)</f>
        <v>9.2780247329723897E-2</v>
      </c>
      <c r="E213" s="99" t="s">
        <v>468</v>
      </c>
      <c r="F213" s="439"/>
      <c r="G213" s="439"/>
      <c r="H213" s="439"/>
      <c r="I213" s="439"/>
      <c r="J213" s="115"/>
    </row>
    <row r="214" spans="1:10" x14ac:dyDescent="0.15">
      <c r="A214" s="102" t="str">
        <f>Data!A46</f>
        <v>Long-term operating lease obligations</v>
      </c>
      <c r="B214" s="8">
        <f>Data!E46</f>
        <v>1213.5</v>
      </c>
      <c r="C214" s="8">
        <f>Data!F46</f>
        <v>1394.2</v>
      </c>
      <c r="D214" s="8">
        <f>Data!G46</f>
        <v>1458</v>
      </c>
      <c r="E214" s="129">
        <f>D214*(1+E215)</f>
        <v>1971.1799143265114</v>
      </c>
      <c r="F214" s="129">
        <f>E214*(1+F215)</f>
        <v>2484.3598286530228</v>
      </c>
      <c r="G214" s="129">
        <f>F214*(1+G215)</f>
        <v>2997.5397429795339</v>
      </c>
      <c r="H214" s="129">
        <f>G214*(1+H215)</f>
        <v>3510.7196573060455</v>
      </c>
      <c r="I214" s="129">
        <f>H214*(1+I215)</f>
        <v>4023.8995716325567</v>
      </c>
      <c r="J214" s="8">
        <f>I214*$J$121</f>
        <v>4184.855554497859</v>
      </c>
    </row>
    <row r="215" spans="1:10" x14ac:dyDescent="0.15">
      <c r="A215" s="63" t="s">
        <v>438</v>
      </c>
      <c r="B215" s="438">
        <f>B214/B$178</f>
        <v>2.5905242529427587E-2</v>
      </c>
      <c r="C215" s="438">
        <f>C214/C$178</f>
        <v>2.688651046186482E-2</v>
      </c>
      <c r="D215" s="438">
        <f>D214/D$178</f>
        <v>2.5872440704553763E-2</v>
      </c>
      <c r="E215" s="106">
        <f>(E154/D154)-1</f>
        <v>0.35197524988100914</v>
      </c>
      <c r="F215" s="106">
        <f>(F154/E154)-1</f>
        <v>0.26034148917444111</v>
      </c>
      <c r="G215" s="106">
        <f>(G154/F154)-1</f>
        <v>0.20656424581005584</v>
      </c>
      <c r="H215" s="106">
        <f>(H154/G154)-1</f>
        <v>0.17120037041324232</v>
      </c>
      <c r="I215" s="106">
        <f>(I154/H154)-1</f>
        <v>0.14617513342557809</v>
      </c>
      <c r="J215" s="114"/>
    </row>
    <row r="216" spans="1:10" x14ac:dyDescent="0.15">
      <c r="A216" s="63" t="s">
        <v>440</v>
      </c>
      <c r="B216" s="438"/>
      <c r="C216" s="438">
        <f>IF(ISERROR(C214/B214-1),"",C214/B214-1)</f>
        <v>0.14890811701689333</v>
      </c>
      <c r="D216" s="438">
        <f>IF(ISERROR(D214/C214-1),"",D214/C214-1)</f>
        <v>4.5761009898149352E-2</v>
      </c>
      <c r="E216" s="99" t="s">
        <v>469</v>
      </c>
      <c r="F216" s="439"/>
      <c r="G216" s="439"/>
      <c r="H216" s="439"/>
      <c r="I216" s="439"/>
      <c r="J216" s="115"/>
    </row>
    <row r="217" spans="1:10" x14ac:dyDescent="0.15">
      <c r="A217" s="70" t="str">
        <f>Data!A47</f>
        <v xml:space="preserve">Other noncurrent liabilities (2) provisions for employees &amp; liabilities </v>
      </c>
      <c r="B217" s="8">
        <f>Data!E47</f>
        <v>525.6</v>
      </c>
      <c r="C217" s="8">
        <f>Data!F47</f>
        <v>630.79999999999995</v>
      </c>
      <c r="D217" s="8">
        <f>Data!G47</f>
        <v>745.7</v>
      </c>
      <c r="E217" s="129">
        <f>D217*(1+E218)</f>
        <v>1008.1679438362686</v>
      </c>
      <c r="F217" s="129">
        <f>E217*(1+F218)</f>
        <v>1270.6358876725371</v>
      </c>
      <c r="G217" s="129">
        <f>F217*(1+G218)</f>
        <v>1533.1038315088056</v>
      </c>
      <c r="H217" s="129">
        <f>G217*(1+H218)</f>
        <v>1795.5717753450742</v>
      </c>
      <c r="I217" s="129">
        <f>H217*(1+I218)</f>
        <v>2058.0397191813427</v>
      </c>
      <c r="J217" s="8">
        <f>I217*$J$121</f>
        <v>2140.3613079485963</v>
      </c>
    </row>
    <row r="218" spans="1:10" x14ac:dyDescent="0.15">
      <c r="A218" s="63" t="s">
        <v>438</v>
      </c>
      <c r="B218" s="438">
        <f>B217/B$178</f>
        <v>1.1220268210520922E-2</v>
      </c>
      <c r="C218" s="438">
        <f>C217/C$178</f>
        <v>1.2164690000964228E-2</v>
      </c>
      <c r="D218" s="438">
        <f>D217/D$178</f>
        <v>1.32325644947776E-2</v>
      </c>
      <c r="E218" s="106">
        <f>(E154/D154)-1</f>
        <v>0.35197524988100914</v>
      </c>
      <c r="F218" s="106">
        <f>(F154/E154)-1</f>
        <v>0.26034148917444111</v>
      </c>
      <c r="G218" s="106">
        <f>(G154/F154)-1</f>
        <v>0.20656424581005584</v>
      </c>
      <c r="H218" s="106">
        <f>(H154/G154)-1</f>
        <v>0.17120037041324232</v>
      </c>
      <c r="I218" s="106">
        <f>(I154/H154)-1</f>
        <v>0.14617513342557809</v>
      </c>
      <c r="J218" s="114"/>
    </row>
    <row r="219" spans="1:10" x14ac:dyDescent="0.15">
      <c r="A219" s="63" t="s">
        <v>440</v>
      </c>
      <c r="B219" s="438"/>
      <c r="C219" s="438">
        <f>IF(ISERROR(C217/B217-1),"",C217/B217-1)</f>
        <v>0.20015220700152203</v>
      </c>
      <c r="D219" s="438">
        <f>IF(ISERROR(D217/C217-1),"",D217/C217-1)</f>
        <v>0.18214965123652527</v>
      </c>
      <c r="E219" s="99" t="s">
        <v>469</v>
      </c>
      <c r="F219" s="439"/>
      <c r="G219" s="439"/>
      <c r="H219" s="439"/>
      <c r="I219" s="439"/>
      <c r="J219" s="115"/>
    </row>
    <row r="220" spans="1:10" x14ac:dyDescent="0.15">
      <c r="A220" s="70" t="str">
        <f>Data!A48</f>
        <v>Deferred tax liabilities- noncurrent</v>
      </c>
      <c r="B220" s="8">
        <f>Data!E48</f>
        <v>905.6</v>
      </c>
      <c r="C220" s="8">
        <f>Data!F48</f>
        <v>846.6</v>
      </c>
      <c r="D220" s="8">
        <f>Data!G48</f>
        <v>964.5</v>
      </c>
      <c r="E220" s="129">
        <f ca="1">E221*E178</f>
        <v>1081.3670796099748</v>
      </c>
      <c r="F220" s="129">
        <f t="shared" ref="F220:I220" ca="1" si="33">F221*F178</f>
        <v>1179.0927307067113</v>
      </c>
      <c r="G220" s="129">
        <f t="shared" ca="1" si="33"/>
        <v>1280.5664978441807</v>
      </c>
      <c r="H220" s="129">
        <f t="shared" ca="1" si="33"/>
        <v>1386.2288005704083</v>
      </c>
      <c r="I220" s="129">
        <f t="shared" ca="1" si="33"/>
        <v>1496.5552919972592</v>
      </c>
      <c r="J220" s="8">
        <f ca="1">I220*$J$121</f>
        <v>1556.4175036771496</v>
      </c>
    </row>
    <row r="221" spans="1:10" x14ac:dyDescent="0.15">
      <c r="A221" s="63" t="s">
        <v>438</v>
      </c>
      <c r="B221" s="438">
        <f>B220/B$178</f>
        <v>1.9332334268355685E-2</v>
      </c>
      <c r="C221" s="438">
        <f>C220/C$178</f>
        <v>1.6326294474978308E-2</v>
      </c>
      <c r="D221" s="438">
        <f>D220/D$178</f>
        <v>1.7115205116284022E-2</v>
      </c>
      <c r="E221" s="498">
        <v>1.7500000000000002E-2</v>
      </c>
      <c r="F221" s="498">
        <f>E221</f>
        <v>1.7500000000000002E-2</v>
      </c>
      <c r="G221" s="498">
        <f>F221</f>
        <v>1.7500000000000002E-2</v>
      </c>
      <c r="H221" s="498">
        <f>G221</f>
        <v>1.7500000000000002E-2</v>
      </c>
      <c r="I221" s="498">
        <f>H221</f>
        <v>1.7500000000000002E-2</v>
      </c>
      <c r="J221" s="121"/>
    </row>
    <row r="222" spans="1:10" x14ac:dyDescent="0.15">
      <c r="A222" s="63" t="s">
        <v>440</v>
      </c>
      <c r="B222" s="438"/>
      <c r="C222" s="438">
        <f>IF(ISERROR(C220/B220-1),"",C220/B220-1)</f>
        <v>-6.5150176678445249E-2</v>
      </c>
      <c r="D222" s="438">
        <f>IF(ISERROR(D220/C220-1),"",D220/C220-1)</f>
        <v>0.13926293408929835</v>
      </c>
      <c r="E222" s="99" t="s">
        <v>471</v>
      </c>
      <c r="F222" s="439"/>
      <c r="G222" s="439"/>
      <c r="H222" s="439"/>
      <c r="I222" s="439"/>
      <c r="J222" s="107"/>
    </row>
    <row r="223" spans="1:10" x14ac:dyDescent="0.15">
      <c r="A223" s="70" t="str">
        <f>Data!A49</f>
        <v>Other noncurrent liabilities (1) - non current tax</v>
      </c>
      <c r="B223" s="8">
        <f>Data!E49</f>
        <v>275.60000000000002</v>
      </c>
      <c r="C223" s="8">
        <f>Data!F49</f>
        <v>255.7</v>
      </c>
      <c r="D223" s="8">
        <f>Data!G49</f>
        <v>224.3</v>
      </c>
      <c r="E223" s="129">
        <f ca="1">E224*E178</f>
        <v>30.896202274570708</v>
      </c>
      <c r="F223" s="129">
        <f t="shared" ref="F223:I223" ca="1" si="34">F224*F178</f>
        <v>33.688363734477463</v>
      </c>
      <c r="G223" s="129">
        <f t="shared" ca="1" si="34"/>
        <v>36.587614224119449</v>
      </c>
      <c r="H223" s="129">
        <f t="shared" ca="1" si="34"/>
        <v>39.60653715915452</v>
      </c>
      <c r="I223" s="129">
        <f t="shared" ca="1" si="34"/>
        <v>42.758722628493118</v>
      </c>
      <c r="J223" s="8">
        <f ca="1">I223*$J$121</f>
        <v>44.469071533632842</v>
      </c>
    </row>
    <row r="224" spans="1:10" x14ac:dyDescent="0.15">
      <c r="A224" s="63" t="s">
        <v>438</v>
      </c>
      <c r="B224" s="438">
        <f>B223/B$178</f>
        <v>5.8833826461559486E-3</v>
      </c>
      <c r="C224" s="438">
        <f>C223/C$178</f>
        <v>4.9310577572075987E-3</v>
      </c>
      <c r="D224" s="438">
        <f>D223/D$178</f>
        <v>3.9802389917910899E-3</v>
      </c>
      <c r="E224" s="498">
        <v>5.0000000000000001E-4</v>
      </c>
      <c r="F224" s="498">
        <f>E224</f>
        <v>5.0000000000000001E-4</v>
      </c>
      <c r="G224" s="498">
        <f>F224</f>
        <v>5.0000000000000001E-4</v>
      </c>
      <c r="H224" s="498">
        <f>G224</f>
        <v>5.0000000000000001E-4</v>
      </c>
      <c r="I224" s="498">
        <f>H224</f>
        <v>5.0000000000000001E-4</v>
      </c>
      <c r="J224" s="122"/>
    </row>
    <row r="225" spans="1:10" x14ac:dyDescent="0.15">
      <c r="A225" s="63" t="s">
        <v>440</v>
      </c>
      <c r="B225" s="438"/>
      <c r="C225" s="438">
        <f>IF(ISERROR(C223/B223-1),"",C223/B223-1)</f>
        <v>-7.2206095791001568E-2</v>
      </c>
      <c r="D225" s="438">
        <f>IF(ISERROR(D223/C223-1),"",D223/C223-1)</f>
        <v>-0.12280015643332021</v>
      </c>
      <c r="E225" s="99" t="s">
        <v>470</v>
      </c>
      <c r="F225" s="439"/>
      <c r="G225" s="439"/>
      <c r="H225" s="439"/>
      <c r="I225" s="439"/>
      <c r="J225" s="118"/>
    </row>
    <row r="226" spans="1:10" x14ac:dyDescent="0.15">
      <c r="A226" s="102" t="str">
        <f>Data!A50</f>
        <v xml:space="preserve">  Total Liabilities</v>
      </c>
      <c r="B226" s="100">
        <f>B208+B211+B214+B217+B220+B223</f>
        <v>19657.699999999997</v>
      </c>
      <c r="C226" s="100">
        <f t="shared" ref="C226:H226" si="35">C208+C211+C214+C217+C220+C223</f>
        <v>22773.7</v>
      </c>
      <c r="D226" s="100">
        <f t="shared" si="35"/>
        <v>23215.600000000002</v>
      </c>
      <c r="E226" s="100">
        <f ca="1">E208+E211+E214+E217+E220+E223</f>
        <v>25824.495319954935</v>
      </c>
      <c r="F226" s="100">
        <f t="shared" ca="1" si="35"/>
        <v>28542.687195795803</v>
      </c>
      <c r="G226" s="100">
        <f t="shared" ca="1" si="35"/>
        <v>31335.880185756854</v>
      </c>
      <c r="H226" s="100">
        <f t="shared" ca="1" si="35"/>
        <v>34210.677625178738</v>
      </c>
      <c r="I226" s="100">
        <f ca="1">I208+I211+I214+I217+I220+I223</f>
        <v>37174.201983147279</v>
      </c>
      <c r="J226" s="100">
        <f ca="1">J208+J211+J214+J217+J220+J223</f>
        <v>38661.17006247316</v>
      </c>
    </row>
    <row r="227" spans="1:10" x14ac:dyDescent="0.15">
      <c r="A227" s="63" t="s">
        <v>438</v>
      </c>
      <c r="B227" s="438">
        <f t="shared" ref="B227:J227" si="36">B226/B$178</f>
        <v>0.41964358143446934</v>
      </c>
      <c r="C227" s="438">
        <f t="shared" si="36"/>
        <v>0.43918040690386662</v>
      </c>
      <c r="D227" s="438">
        <f t="shared" si="36"/>
        <v>0.41196449548740627</v>
      </c>
      <c r="E227" s="438">
        <f t="shared" ca="1" si="36"/>
        <v>0.41792345690994409</v>
      </c>
      <c r="F227" s="438">
        <f t="shared" ca="1" si="36"/>
        <v>0.42362828038728023</v>
      </c>
      <c r="G227" s="438">
        <f t="shared" ca="1" si="36"/>
        <v>0.42823071209026087</v>
      </c>
      <c r="H227" s="438">
        <f t="shared" ca="1" si="36"/>
        <v>0.43188170538245857</v>
      </c>
      <c r="I227" s="438">
        <f t="shared" ca="1" si="36"/>
        <v>0.43469729330005191</v>
      </c>
      <c r="J227" s="438">
        <f t="shared" ca="1" si="36"/>
        <v>0.43469729330005175</v>
      </c>
    </row>
    <row r="228" spans="1:10" x14ac:dyDescent="0.15">
      <c r="A228" s="63" t="s">
        <v>440</v>
      </c>
      <c r="B228" s="438"/>
      <c r="C228" s="438">
        <f t="shared" ref="C228:I228" si="37">IF(ISERROR(C226/B226-1),"",C226/B226-1)</f>
        <v>0.15851294912426206</v>
      </c>
      <c r="D228" s="438">
        <f t="shared" si="37"/>
        <v>1.9403961587269647E-2</v>
      </c>
      <c r="E228" s="438">
        <f t="shared" ca="1" si="37"/>
        <v>0.11237682075651434</v>
      </c>
      <c r="F228" s="438">
        <f t="shared" ca="1" si="37"/>
        <v>0.105256340624031</v>
      </c>
      <c r="G228" s="438">
        <f t="shared" ca="1" si="37"/>
        <v>9.7860196932420429E-2</v>
      </c>
      <c r="H228" s="438">
        <f t="shared" ca="1" si="37"/>
        <v>9.1741397477278053E-2</v>
      </c>
      <c r="I228" s="438">
        <f t="shared" ca="1" si="37"/>
        <v>8.6625713481554012E-2</v>
      </c>
      <c r="J228" s="438"/>
    </row>
    <row r="229" spans="1:10" x14ac:dyDescent="0.15">
      <c r="A229" s="63"/>
      <c r="B229" s="438"/>
      <c r="C229" s="438"/>
      <c r="D229" s="438"/>
      <c r="E229" s="438"/>
      <c r="F229" s="438"/>
      <c r="G229" s="438"/>
      <c r="H229" s="438"/>
      <c r="I229" s="438"/>
      <c r="J229" s="441"/>
    </row>
    <row r="230" spans="1:10" x14ac:dyDescent="0.15">
      <c r="A230" s="70" t="s">
        <v>472</v>
      </c>
      <c r="B230" s="301"/>
      <c r="C230" s="301"/>
      <c r="D230" s="301"/>
      <c r="E230" s="315"/>
      <c r="F230" s="315"/>
      <c r="G230" s="315"/>
      <c r="H230" s="315"/>
      <c r="I230" s="315"/>
      <c r="J230" s="115"/>
    </row>
    <row r="231" spans="1:10" x14ac:dyDescent="0.15">
      <c r="A231" s="70" t="str">
        <f>Data!A52</f>
        <v>&lt;Treasury stock&gt; and other equity adjustments - other reserves</v>
      </c>
      <c r="B231" s="8">
        <f>Data!E52</f>
        <v>0</v>
      </c>
      <c r="C231" s="8">
        <f>Data!F52</f>
        <v>0</v>
      </c>
      <c r="D231" s="8">
        <f>Data!G52</f>
        <v>0</v>
      </c>
      <c r="E231" s="129">
        <f>E232</f>
        <v>0</v>
      </c>
      <c r="F231" s="129">
        <f>E231+F232</f>
        <v>0</v>
      </c>
      <c r="G231" s="129">
        <f>F231+G232</f>
        <v>0</v>
      </c>
      <c r="H231" s="129">
        <f>G231+H232</f>
        <v>0</v>
      </c>
      <c r="I231" s="129">
        <f>H231+I232</f>
        <v>0</v>
      </c>
      <c r="J231" s="8">
        <f>I231*$J$121</f>
        <v>0</v>
      </c>
    </row>
    <row r="232" spans="1:10" x14ac:dyDescent="0.15">
      <c r="A232" s="63" t="s">
        <v>438</v>
      </c>
      <c r="B232" s="438">
        <f>B231/B$178</f>
        <v>0</v>
      </c>
      <c r="C232" s="438">
        <f>C231/C$178</f>
        <v>0</v>
      </c>
      <c r="D232" s="438">
        <f>D231/D$178</f>
        <v>0</v>
      </c>
      <c r="E232" s="104">
        <v>0</v>
      </c>
      <c r="F232" s="104">
        <v>0</v>
      </c>
      <c r="G232" s="104">
        <f>F232</f>
        <v>0</v>
      </c>
      <c r="H232" s="104">
        <f>G232</f>
        <v>0</v>
      </c>
      <c r="I232" s="104">
        <f>H232</f>
        <v>0</v>
      </c>
      <c r="J232" s="121"/>
    </row>
    <row r="233" spans="1:10" x14ac:dyDescent="0.15">
      <c r="A233" s="63" t="s">
        <v>440</v>
      </c>
      <c r="B233" s="438"/>
      <c r="C233" s="438" t="str">
        <f>IF(ISERROR(C231/B231-1),"",C231/B231-1)</f>
        <v/>
      </c>
      <c r="D233" s="438" t="str">
        <f>IF(ISERROR(D231/C231-1),"",D231/C231-1)</f>
        <v/>
      </c>
      <c r="E233" s="99" t="s">
        <v>473</v>
      </c>
      <c r="F233" s="439"/>
      <c r="G233" s="439"/>
      <c r="H233" s="439"/>
      <c r="I233" s="439"/>
      <c r="J233" s="115"/>
    </row>
    <row r="234" spans="1:10" x14ac:dyDescent="0.15">
      <c r="A234" s="63"/>
      <c r="B234" s="438"/>
      <c r="C234" s="438"/>
      <c r="D234" s="438"/>
      <c r="E234" s="99"/>
      <c r="F234" s="439"/>
      <c r="G234" s="439"/>
      <c r="H234" s="439"/>
      <c r="I234" s="439"/>
      <c r="J234" s="115"/>
    </row>
    <row r="235" spans="1:10" x14ac:dyDescent="0.15">
      <c r="A235" s="70" t="str">
        <f>Data!A53</f>
        <v>Common stock + Capital in excess of par value</v>
      </c>
      <c r="B235" s="8">
        <f>Data!E53</f>
        <v>3475.7</v>
      </c>
      <c r="C235" s="8">
        <f>Data!F53</f>
        <v>3477.1</v>
      </c>
      <c r="D235" s="8">
        <f>Data!G53</f>
        <v>3551.2000000000003</v>
      </c>
      <c r="E235" s="129">
        <f>D235*(1+E236)</f>
        <v>3622.2240000000002</v>
      </c>
      <c r="F235" s="129">
        <f>E235*(1+F236)</f>
        <v>3694.6684800000003</v>
      </c>
      <c r="G235" s="129">
        <f>F235*(1+G236)</f>
        <v>3768.5618496000002</v>
      </c>
      <c r="H235" s="129">
        <f>G235*(1+H236)</f>
        <v>3843.9330865920001</v>
      </c>
      <c r="I235" s="129">
        <f>H235*(1+I236)</f>
        <v>3920.8117483238402</v>
      </c>
      <c r="J235" s="8">
        <f>I235*$J$121</f>
        <v>4077.6442182567939</v>
      </c>
    </row>
    <row r="236" spans="1:10" x14ac:dyDescent="0.15">
      <c r="A236" s="63" t="s">
        <v>438</v>
      </c>
      <c r="B236" s="438">
        <f>B235/B$178</f>
        <v>7.419765262425336E-2</v>
      </c>
      <c r="C236" s="438">
        <f>C235/C$178</f>
        <v>6.7054285989779194E-2</v>
      </c>
      <c r="D236" s="438">
        <f>D235/D$178</f>
        <v>6.3016605919074986E-2</v>
      </c>
      <c r="E236" s="106">
        <v>0.02</v>
      </c>
      <c r="F236" s="106">
        <f>E236</f>
        <v>0.02</v>
      </c>
      <c r="G236" s="106">
        <f>F236</f>
        <v>0.02</v>
      </c>
      <c r="H236" s="106">
        <f>G236</f>
        <v>0.02</v>
      </c>
      <c r="I236" s="106">
        <f>H236</f>
        <v>0.02</v>
      </c>
      <c r="J236" s="121"/>
    </row>
    <row r="237" spans="1:10" ht="28" x14ac:dyDescent="0.15">
      <c r="A237" s="63" t="s">
        <v>440</v>
      </c>
      <c r="B237" s="438"/>
      <c r="C237" s="438">
        <f>IF(ISERROR(C235/B235-1),"",C235/B235-1)</f>
        <v>4.0279655896657829E-4</v>
      </c>
      <c r="D237" s="438">
        <f>IF(ISERROR(D235/C235-1),"",D235/C235-1)</f>
        <v>2.1310862500359518E-2</v>
      </c>
      <c r="E237" s="331" t="s">
        <v>474</v>
      </c>
      <c r="F237" s="439"/>
      <c r="G237" s="439"/>
      <c r="H237" s="439"/>
      <c r="I237" s="439"/>
      <c r="J237" s="115"/>
    </row>
    <row r="238" spans="1:10" x14ac:dyDescent="0.15">
      <c r="A238" s="70" t="str">
        <f>Data!A54</f>
        <v xml:space="preserve">Retained earnings </v>
      </c>
      <c r="B238" s="8">
        <f>Data!E54</f>
        <v>5706.6</v>
      </c>
      <c r="C238" s="8">
        <f>Data!F54</f>
        <v>6184</v>
      </c>
      <c r="D238" s="8">
        <f>Data!G54</f>
        <v>6408.7</v>
      </c>
      <c r="E238" s="129">
        <f ca="1">D238+E102+E271+E281</f>
        <v>7553.3052291864788</v>
      </c>
      <c r="F238" s="129">
        <f t="shared" ref="F238:J238" ca="1" si="38">E238+F102+F271+F281</f>
        <v>8571.0637931591154</v>
      </c>
      <c r="G238" s="129">
        <f t="shared" ca="1" si="38"/>
        <v>9548.9576128820336</v>
      </c>
      <c r="H238" s="129">
        <f t="shared" ca="1" si="38"/>
        <v>10487.761926538296</v>
      </c>
      <c r="I238" s="129">
        <f t="shared" ca="1" si="38"/>
        <v>11387.969677515113</v>
      </c>
      <c r="J238" s="8">
        <f t="shared" ca="1" si="38"/>
        <v>39166.048786535743</v>
      </c>
    </row>
    <row r="239" spans="1:10" x14ac:dyDescent="0.15">
      <c r="A239" s="63" t="s">
        <v>438</v>
      </c>
      <c r="B239" s="438">
        <f>B238/B$178</f>
        <v>0.12182188464642066</v>
      </c>
      <c r="C239" s="438">
        <f>C238/C$178</f>
        <v>0.11925561662327647</v>
      </c>
      <c r="D239" s="438">
        <f>D238/D$178</f>
        <v>0.11372339557151831</v>
      </c>
      <c r="E239" s="106"/>
      <c r="F239" s="106"/>
      <c r="G239" s="106"/>
      <c r="H239" s="106"/>
      <c r="I239" s="106"/>
      <c r="J239" s="123"/>
    </row>
    <row r="240" spans="1:10" x14ac:dyDescent="0.15">
      <c r="A240" s="63" t="s">
        <v>440</v>
      </c>
      <c r="B240" s="438"/>
      <c r="C240" s="438">
        <f>IF(ISERROR(C238/B238-1),"",C238/B238-1)</f>
        <v>8.365751936354382E-2</v>
      </c>
      <c r="D240" s="438">
        <f>IF(ISERROR(D238/C238-1),"",D238/C238-1)</f>
        <v>3.6335705045278166E-2</v>
      </c>
      <c r="E240" s="99" t="s">
        <v>475</v>
      </c>
      <c r="F240" s="439"/>
      <c r="G240" s="439"/>
      <c r="H240" s="439"/>
      <c r="I240" s="439"/>
      <c r="J240" s="124"/>
    </row>
    <row r="241" spans="1:10" x14ac:dyDescent="0.15">
      <c r="A241" s="70" t="str">
        <f>Data!A55</f>
        <v>Accumulated other comprehensive income</v>
      </c>
      <c r="B241" s="8">
        <f>Data!E55</f>
        <v>6320.5999999999995</v>
      </c>
      <c r="C241" s="8">
        <f>Data!F55</f>
        <v>5614.2</v>
      </c>
      <c r="D241" s="8">
        <f>Data!G55</f>
        <v>7028.6</v>
      </c>
      <c r="E241" s="129">
        <f>D241</f>
        <v>7028.6</v>
      </c>
      <c r="F241" s="129">
        <f>E241</f>
        <v>7028.6</v>
      </c>
      <c r="G241" s="129">
        <f>F241</f>
        <v>7028.6</v>
      </c>
      <c r="H241" s="129">
        <f>G241</f>
        <v>7028.6</v>
      </c>
      <c r="I241" s="129">
        <f>H241</f>
        <v>7028.6</v>
      </c>
      <c r="J241" s="8">
        <f>I241+J106</f>
        <v>7028.6</v>
      </c>
    </row>
    <row r="242" spans="1:10" s="273" customFormat="1" x14ac:dyDescent="0.15">
      <c r="A242" s="63" t="s">
        <v>438</v>
      </c>
      <c r="B242" s="438">
        <f>B241/B$178</f>
        <v>0.13492927559250101</v>
      </c>
      <c r="C242" s="438">
        <f>C241/C$178</f>
        <v>0.1082672837720567</v>
      </c>
      <c r="D242" s="438">
        <f>D241/D$178</f>
        <v>0.12472361916051206</v>
      </c>
      <c r="E242" s="104">
        <v>0</v>
      </c>
      <c r="F242" s="104">
        <f>E242</f>
        <v>0</v>
      </c>
      <c r="G242" s="104">
        <f>F242</f>
        <v>0</v>
      </c>
      <c r="H242" s="104">
        <f>G242</f>
        <v>0</v>
      </c>
      <c r="I242" s="104">
        <f>H242</f>
        <v>0</v>
      </c>
      <c r="J242" s="114"/>
    </row>
    <row r="243" spans="1:10" s="273" customFormat="1" x14ac:dyDescent="0.15">
      <c r="A243" s="63" t="s">
        <v>440</v>
      </c>
      <c r="B243" s="438"/>
      <c r="C243" s="438">
        <f>IF(ISERROR(C241/B241-1),"",C241/B241-1)</f>
        <v>-0.11176154162579499</v>
      </c>
      <c r="D243" s="438">
        <f>IF(ISERROR(D241/C241-1),"",D241/C241-1)</f>
        <v>0.25193259947989044</v>
      </c>
      <c r="E243" s="99" t="s">
        <v>476</v>
      </c>
      <c r="F243" s="439"/>
      <c r="G243" s="439"/>
      <c r="H243" s="439"/>
      <c r="I243" s="439"/>
      <c r="J243" s="107"/>
    </row>
    <row r="244" spans="1:10" x14ac:dyDescent="0.15">
      <c r="A244" s="70" t="str">
        <f>Data!A56</f>
        <v>Other reserves</v>
      </c>
      <c r="B244" s="8">
        <f>Data!E56</f>
        <v>11675.6</v>
      </c>
      <c r="C244" s="8">
        <f>Data!F56</f>
        <v>13799.1</v>
      </c>
      <c r="D244" s="8">
        <f>Data!G56</f>
        <v>16144.8</v>
      </c>
      <c r="E244" s="129">
        <f>D244*(1+E245)</f>
        <v>17759.28</v>
      </c>
      <c r="F244" s="129">
        <f t="shared" ref="F244:I244" si="39">E244*(1+F245)</f>
        <v>19535.207999999999</v>
      </c>
      <c r="G244" s="129">
        <f t="shared" si="39"/>
        <v>21488.728800000001</v>
      </c>
      <c r="H244" s="129">
        <f t="shared" si="39"/>
        <v>23637.601680000003</v>
      </c>
      <c r="I244" s="129">
        <f t="shared" si="39"/>
        <v>26001.361848000004</v>
      </c>
      <c r="J244" s="8">
        <v>0</v>
      </c>
    </row>
    <row r="245" spans="1:10" x14ac:dyDescent="0.15">
      <c r="A245" s="63" t="s">
        <v>438</v>
      </c>
      <c r="B245" s="438">
        <f>B244/B$178</f>
        <v>0.24924536438119879</v>
      </c>
      <c r="C245" s="438">
        <f>C244/C$178</f>
        <v>0.26610934336129599</v>
      </c>
      <c r="D245" s="438">
        <f>D244/D$178</f>
        <v>0.28649203064943729</v>
      </c>
      <c r="E245" s="269">
        <v>0.1</v>
      </c>
      <c r="F245" s="269">
        <v>0.1</v>
      </c>
      <c r="G245" s="269">
        <v>0.1</v>
      </c>
      <c r="H245" s="269">
        <v>0.1</v>
      </c>
      <c r="I245" s="269">
        <v>0.1</v>
      </c>
      <c r="J245" s="114"/>
    </row>
    <row r="246" spans="1:10" x14ac:dyDescent="0.15">
      <c r="A246" s="63" t="s">
        <v>440</v>
      </c>
      <c r="B246" s="438"/>
      <c r="C246" s="438">
        <f>IF(ISERROR(C244/B244-1),"",C244/B244-1)</f>
        <v>0.18187502141217582</v>
      </c>
      <c r="D246" s="438">
        <f>IF(ISERROR(D244/C244-1),"",D244/C244-1)</f>
        <v>0.16998934713133451</v>
      </c>
      <c r="E246" s="99" t="s">
        <v>477</v>
      </c>
      <c r="F246" s="439"/>
      <c r="G246" s="439"/>
      <c r="H246" s="439"/>
      <c r="I246" s="439"/>
      <c r="J246" s="118"/>
    </row>
    <row r="247" spans="1:10" x14ac:dyDescent="0.15">
      <c r="A247" s="102" t="str">
        <f>Data!A57</f>
        <v xml:space="preserve"> Total Common Shareholders' Equity</v>
      </c>
      <c r="B247" s="100">
        <f>B235+B238+B241+B244</f>
        <v>27178.5</v>
      </c>
      <c r="C247" s="100">
        <f t="shared" ref="C247:J247" si="40">C235+C238+C241+C244</f>
        <v>29074.400000000001</v>
      </c>
      <c r="D247" s="100">
        <f t="shared" si="40"/>
        <v>33133.300000000003</v>
      </c>
      <c r="E247" s="100">
        <f t="shared" ca="1" si="40"/>
        <v>35963.40922918648</v>
      </c>
      <c r="F247" s="100">
        <f t="shared" ca="1" si="40"/>
        <v>38829.540273159117</v>
      </c>
      <c r="G247" s="100">
        <f t="shared" ca="1" si="40"/>
        <v>41834.848262482032</v>
      </c>
      <c r="H247" s="100">
        <f t="shared" ca="1" si="40"/>
        <v>44997.8966931303</v>
      </c>
      <c r="I247" s="100">
        <f t="shared" ca="1" si="40"/>
        <v>48338.743273838962</v>
      </c>
      <c r="J247" s="100">
        <f t="shared" ca="1" si="40"/>
        <v>50272.293004792533</v>
      </c>
    </row>
    <row r="248" spans="1:10" s="273" customFormat="1" ht="11" x14ac:dyDescent="0.15">
      <c r="A248" s="63" t="s">
        <v>438</v>
      </c>
      <c r="B248" s="271">
        <f>B247/B$178</f>
        <v>0.58019417724437383</v>
      </c>
      <c r="C248" s="271">
        <f t="shared" ref="C248:I248" si="41">C247/C$178</f>
        <v>0.56068652974640831</v>
      </c>
      <c r="D248" s="271">
        <f t="shared" si="41"/>
        <v>0.58795565130054273</v>
      </c>
      <c r="E248" s="271">
        <f t="shared" ca="1" si="41"/>
        <v>0.58200371860567413</v>
      </c>
      <c r="F248" s="271">
        <f t="shared" ca="1" si="41"/>
        <v>0.57630493097265001</v>
      </c>
      <c r="G248" s="271">
        <f t="shared" ca="1" si="41"/>
        <v>0.57170779168901753</v>
      </c>
      <c r="H248" s="271">
        <f t="shared" ca="1" si="41"/>
        <v>0.56806148581370797</v>
      </c>
      <c r="I248" s="271">
        <f t="shared" ca="1" si="41"/>
        <v>0.56525008585765713</v>
      </c>
      <c r="J248" s="271"/>
    </row>
    <row r="249" spans="1:10" s="273" customFormat="1" ht="11" x14ac:dyDescent="0.15">
      <c r="A249" s="63" t="s">
        <v>440</v>
      </c>
      <c r="B249" s="271"/>
      <c r="C249" s="271">
        <f t="shared" ref="C249:I249" si="42">IF(ISERROR(C247/B247-1),"",C247/B247-1)</f>
        <v>6.975734496017072E-2</v>
      </c>
      <c r="D249" s="271">
        <f t="shared" si="42"/>
        <v>0.1396039127204689</v>
      </c>
      <c r="E249" s="271">
        <f t="shared" ca="1" si="42"/>
        <v>8.5415857436068165E-2</v>
      </c>
      <c r="F249" s="271">
        <f t="shared" ca="1" si="42"/>
        <v>7.9695754807544761E-2</v>
      </c>
      <c r="G249" s="271">
        <f t="shared" ca="1" si="42"/>
        <v>7.7397465130441656E-2</v>
      </c>
      <c r="H249" s="271">
        <f t="shared" ca="1" si="42"/>
        <v>7.5607981432191051E-2</v>
      </c>
      <c r="I249" s="271">
        <f t="shared" ca="1" si="42"/>
        <v>7.4244505326372279E-2</v>
      </c>
      <c r="J249" s="271"/>
    </row>
    <row r="250" spans="1:10" x14ac:dyDescent="0.15">
      <c r="A250" s="102" t="str">
        <f>Data!A58</f>
        <v>Noncontrolling interests</v>
      </c>
      <c r="B250" s="102">
        <f>Data!E58</f>
        <v>8</v>
      </c>
      <c r="C250" s="102">
        <f>Data!F58</f>
        <v>7.3</v>
      </c>
      <c r="D250" s="102">
        <f>Data!G58</f>
        <v>4.5</v>
      </c>
      <c r="E250" s="129">
        <f>D250</f>
        <v>4.5</v>
      </c>
      <c r="F250" s="129">
        <f t="shared" ref="F250:I250" si="43">E250</f>
        <v>4.5</v>
      </c>
      <c r="G250" s="129">
        <f t="shared" si="43"/>
        <v>4.5</v>
      </c>
      <c r="H250" s="129">
        <f t="shared" si="43"/>
        <v>4.5</v>
      </c>
      <c r="I250" s="129">
        <f t="shared" si="43"/>
        <v>4.5</v>
      </c>
      <c r="J250" s="8">
        <f>I250*$J$121</f>
        <v>4.68</v>
      </c>
    </row>
    <row r="251" spans="1:10" s="273" customFormat="1" x14ac:dyDescent="0.15">
      <c r="A251" s="63" t="s">
        <v>438</v>
      </c>
      <c r="B251" s="271">
        <f>B250/B$178</f>
        <v>1.7078033805967917E-4</v>
      </c>
      <c r="C251" s="271">
        <f>C250/C$178</f>
        <v>1.4077716710056892E-4</v>
      </c>
      <c r="D251" s="271">
        <f>D250/D$178</f>
        <v>7.9853212051091851E-5</v>
      </c>
      <c r="E251" s="269">
        <v>0</v>
      </c>
      <c r="F251" s="269">
        <v>0</v>
      </c>
      <c r="G251" s="269">
        <v>0</v>
      </c>
      <c r="H251" s="269">
        <v>0</v>
      </c>
      <c r="I251" s="269">
        <v>0</v>
      </c>
      <c r="J251" s="114"/>
    </row>
    <row r="252" spans="1:10" s="273" customFormat="1" x14ac:dyDescent="0.15">
      <c r="A252" s="63" t="s">
        <v>440</v>
      </c>
      <c r="B252" s="271"/>
      <c r="C252" s="438">
        <f>IF(ISERROR(C250/B250-1),"",C250/B250-1)</f>
        <v>-8.7500000000000022E-2</v>
      </c>
      <c r="D252" s="438">
        <f>IF(ISERROR(D250/C250-1),"",D250/C250-1)</f>
        <v>-0.38356164383561642</v>
      </c>
      <c r="E252" s="99" t="s">
        <v>478</v>
      </c>
      <c r="F252" s="439"/>
      <c r="G252" s="439"/>
      <c r="H252" s="439"/>
      <c r="I252" s="439"/>
      <c r="J252" s="118"/>
    </row>
    <row r="253" spans="1:10" s="273" customFormat="1" x14ac:dyDescent="0.15">
      <c r="A253" s="102" t="str">
        <f>Data!A59</f>
        <v xml:space="preserve">  Total Equity</v>
      </c>
      <c r="B253" s="270">
        <f>B247+B250</f>
        <v>27186.5</v>
      </c>
      <c r="C253" s="270">
        <f t="shared" ref="C253:J253" si="44">C247+C250</f>
        <v>29081.7</v>
      </c>
      <c r="D253" s="270">
        <f t="shared" si="44"/>
        <v>33137.800000000003</v>
      </c>
      <c r="E253" s="270">
        <f t="shared" ca="1" si="44"/>
        <v>35967.90922918648</v>
      </c>
      <c r="F253" s="270">
        <f t="shared" ca="1" si="44"/>
        <v>38834.040273159117</v>
      </c>
      <c r="G253" s="270">
        <f t="shared" ca="1" si="44"/>
        <v>41839.348262482032</v>
      </c>
      <c r="H253" s="270">
        <f t="shared" ca="1" si="44"/>
        <v>45002.3966931303</v>
      </c>
      <c r="I253" s="270">
        <f t="shared" ca="1" si="44"/>
        <v>48343.243273838962</v>
      </c>
      <c r="J253" s="270">
        <f t="shared" ca="1" si="44"/>
        <v>50276.973004792533</v>
      </c>
    </row>
    <row r="254" spans="1:10" x14ac:dyDescent="0.15">
      <c r="A254" s="63" t="s">
        <v>438</v>
      </c>
      <c r="B254" s="271">
        <f t="shared" ref="B254:I254" si="45">B253/B$178</f>
        <v>0.58036495758243345</v>
      </c>
      <c r="C254" s="271">
        <f t="shared" si="45"/>
        <v>0.56082730691350891</v>
      </c>
      <c r="D254" s="271">
        <f t="shared" si="45"/>
        <v>0.58803550451259379</v>
      </c>
      <c r="E254" s="271">
        <f t="shared" ca="1" si="45"/>
        <v>0.58207654309005596</v>
      </c>
      <c r="F254" s="271">
        <f t="shared" ca="1" si="45"/>
        <v>0.57637171961271971</v>
      </c>
      <c r="G254" s="271">
        <f t="shared" ca="1" si="45"/>
        <v>0.57176928790973902</v>
      </c>
      <c r="H254" s="271">
        <f t="shared" ca="1" si="45"/>
        <v>0.56811829461754149</v>
      </c>
      <c r="I254" s="271">
        <f t="shared" ca="1" si="45"/>
        <v>0.5653027066999482</v>
      </c>
      <c r="J254" s="271"/>
    </row>
    <row r="255" spans="1:10" x14ac:dyDescent="0.15">
      <c r="A255" s="63" t="s">
        <v>440</v>
      </c>
      <c r="B255" s="271"/>
      <c r="C255" s="271">
        <f t="shared" ref="C255:I255" si="46">IF(ISERROR(C253/B253-1),"",C253/B253-1)</f>
        <v>6.9711069832453676E-2</v>
      </c>
      <c r="D255" s="271">
        <f t="shared" si="46"/>
        <v>0.1394725892915476</v>
      </c>
      <c r="E255" s="271">
        <f t="shared" ca="1" si="46"/>
        <v>8.5404258254515364E-2</v>
      </c>
      <c r="F255" s="271">
        <f t="shared" ca="1" si="46"/>
        <v>7.9685783950068645E-2</v>
      </c>
      <c r="G255" s="271">
        <f t="shared" ca="1" si="46"/>
        <v>7.73884964887388E-2</v>
      </c>
      <c r="H255" s="271">
        <f t="shared" ca="1" si="46"/>
        <v>7.5599849471953195E-2</v>
      </c>
      <c r="I255" s="271">
        <f t="shared" ca="1" si="46"/>
        <v>7.4237081271243621E-2</v>
      </c>
      <c r="J255" s="271"/>
    </row>
    <row r="256" spans="1:10" ht="14" thickBot="1" x14ac:dyDescent="0.2">
      <c r="A256" s="102" t="str">
        <f>Data!A60</f>
        <v xml:space="preserve">  Total Liabilities and Equities</v>
      </c>
      <c r="B256" s="108">
        <f>B226+B231+B253</f>
        <v>46844.2</v>
      </c>
      <c r="C256" s="108">
        <f t="shared" ref="C256:J256" si="47">C226+C231+C253</f>
        <v>51855.4</v>
      </c>
      <c r="D256" s="108">
        <f t="shared" si="47"/>
        <v>56353.400000000009</v>
      </c>
      <c r="E256" s="108">
        <f ca="1">E226+E231+E253</f>
        <v>61792.404549141414</v>
      </c>
      <c r="F256" s="108">
        <f t="shared" ca="1" si="47"/>
        <v>67376.727468954923</v>
      </c>
      <c r="G256" s="108">
        <f t="shared" ca="1" si="47"/>
        <v>73175.228448238893</v>
      </c>
      <c r="H256" s="108">
        <f t="shared" ca="1" si="47"/>
        <v>79213.074318309038</v>
      </c>
      <c r="I256" s="108">
        <f ca="1">I226+I231+I253</f>
        <v>85517.445256986248</v>
      </c>
      <c r="J256" s="108">
        <f t="shared" ca="1" si="47"/>
        <v>88938.143067265686</v>
      </c>
    </row>
    <row r="257" spans="1:16" ht="14" thickTop="1" x14ac:dyDescent="0.15">
      <c r="A257" s="63" t="s">
        <v>438</v>
      </c>
      <c r="B257" s="271">
        <f>B256/B$178</f>
        <v>1.0000085390169029</v>
      </c>
      <c r="C257" s="271">
        <f>C256/C$178</f>
        <v>1.0000077138173755</v>
      </c>
      <c r="D257" s="271">
        <f>D256/D$178</f>
        <v>1.0000000000000002</v>
      </c>
      <c r="E257" s="272">
        <f t="shared" ref="E257:J257" ca="1" si="48">E256/E256</f>
        <v>1</v>
      </c>
      <c r="F257" s="272">
        <f t="shared" ca="1" si="48"/>
        <v>1</v>
      </c>
      <c r="G257" s="272">
        <f t="shared" ca="1" si="48"/>
        <v>1</v>
      </c>
      <c r="H257" s="272">
        <f t="shared" ca="1" si="48"/>
        <v>1</v>
      </c>
      <c r="I257" s="272">
        <f t="shared" ca="1" si="48"/>
        <v>1</v>
      </c>
      <c r="J257" s="272">
        <f t="shared" ca="1" si="48"/>
        <v>1</v>
      </c>
      <c r="K257" s="301"/>
      <c r="L257" s="301"/>
      <c r="M257" s="301"/>
      <c r="N257" s="301"/>
      <c r="O257" s="301"/>
      <c r="P257" s="301"/>
    </row>
    <row r="258" spans="1:16" x14ac:dyDescent="0.15">
      <c r="A258" s="63" t="s">
        <v>440</v>
      </c>
      <c r="B258" s="271"/>
      <c r="C258" s="271">
        <f>IF(ISERROR(C256/B256-1),"",C256/B256-1)</f>
        <v>0.10697589029164778</v>
      </c>
      <c r="D258" s="271">
        <f>IF(ISERROR(D256/C256-1),"",D256/C256-1)</f>
        <v>8.6741207280244925E-2</v>
      </c>
      <c r="E258" s="271">
        <f t="shared" ref="E258:J258" ca="1" si="49">IF(ISERROR(E256/D256-1),"",E256/D256-1)</f>
        <v>9.6515996357653844E-2</v>
      </c>
      <c r="F258" s="271">
        <f t="shared" ca="1" si="49"/>
        <v>9.0372319390362721E-2</v>
      </c>
      <c r="G258" s="271">
        <f t="shared" ca="1" si="49"/>
        <v>8.6060887744299208E-2</v>
      </c>
      <c r="H258" s="271">
        <f t="shared" ca="1" si="49"/>
        <v>8.2512156068512477E-2</v>
      </c>
      <c r="I258" s="271">
        <f t="shared" ca="1" si="49"/>
        <v>7.95875048775887E-2</v>
      </c>
      <c r="J258" s="271">
        <f t="shared" ca="1" si="49"/>
        <v>3.9999999999999813E-2</v>
      </c>
      <c r="K258" s="301"/>
      <c r="L258" s="301"/>
      <c r="M258" s="301"/>
      <c r="N258" s="301"/>
      <c r="O258" s="76"/>
      <c r="P258" s="76"/>
    </row>
    <row r="259" spans="1:16" x14ac:dyDescent="0.15">
      <c r="A259" s="274" t="s">
        <v>479</v>
      </c>
      <c r="B259" s="275">
        <f t="shared" ref="B259:J259" si="50">B178-B256</f>
        <v>-0.39999999999417923</v>
      </c>
      <c r="C259" s="275">
        <f t="shared" si="50"/>
        <v>-0.40000000000873115</v>
      </c>
      <c r="D259" s="275">
        <f t="shared" si="50"/>
        <v>0</v>
      </c>
      <c r="E259" s="276">
        <f ca="1">E178-E256</f>
        <v>0</v>
      </c>
      <c r="F259" s="276">
        <f t="shared" ca="1" si="50"/>
        <v>0</v>
      </c>
      <c r="G259" s="276">
        <f t="shared" ca="1" si="50"/>
        <v>0</v>
      </c>
      <c r="H259" s="276">
        <f t="shared" ca="1" si="50"/>
        <v>0</v>
      </c>
      <c r="I259" s="276">
        <f ca="1">I178-I256</f>
        <v>0</v>
      </c>
      <c r="J259" s="276">
        <f t="shared" ca="1" si="50"/>
        <v>0</v>
      </c>
      <c r="K259" s="301"/>
      <c r="L259" s="273" t="s">
        <v>480</v>
      </c>
      <c r="M259" s="301"/>
      <c r="N259" s="301"/>
      <c r="O259" s="131"/>
      <c r="P259" s="131"/>
    </row>
    <row r="260" spans="1:16" x14ac:dyDescent="0.15">
      <c r="A260" s="35"/>
      <c r="B260" s="438"/>
      <c r="C260" s="438"/>
      <c r="D260" s="450"/>
      <c r="E260" s="37" t="s">
        <v>481</v>
      </c>
      <c r="F260" s="301"/>
      <c r="G260" s="301"/>
      <c r="H260" s="301"/>
      <c r="I260" s="301"/>
      <c r="J260" s="115"/>
      <c r="K260" s="301"/>
      <c r="L260" s="301"/>
      <c r="M260" s="301"/>
      <c r="N260" s="301"/>
      <c r="O260" s="134"/>
      <c r="P260" s="134"/>
    </row>
    <row r="261" spans="1:16" x14ac:dyDescent="0.15">
      <c r="A261" s="299"/>
      <c r="B261" s="301"/>
      <c r="C261" s="301"/>
      <c r="D261" s="301"/>
      <c r="E261" s="127">
        <f ca="1">E178-E226-E231-E235-D238-E102-E241-E244-E250-E271</f>
        <v>4221.6555911133601</v>
      </c>
      <c r="F261" s="127">
        <f t="shared" ref="F261:I261" ca="1" si="51">F178-F226-F231-F235-E238-F102-F241-F244-F250-F271</f>
        <v>3862.6059157409563</v>
      </c>
      <c r="G261" s="127">
        <f t="shared" ca="1" si="51"/>
        <v>3571.718134496632</v>
      </c>
      <c r="H261" s="127">
        <f t="shared" ca="1" si="51"/>
        <v>3261.2795448489051</v>
      </c>
      <c r="I261" s="127">
        <f t="shared" ca="1" si="51"/>
        <v>2929.3813381433793</v>
      </c>
      <c r="J261" s="502">
        <f ca="1">J178-J226-J231-J235-I238-J102-J241-J244-J250-J271</f>
        <v>29888.419639673841</v>
      </c>
      <c r="K261" s="301"/>
      <c r="L261" s="37" t="s">
        <v>482</v>
      </c>
      <c r="M261" s="301"/>
      <c r="N261" s="301"/>
      <c r="O261" s="134"/>
      <c r="P261" s="134"/>
    </row>
    <row r="262" spans="1:16" x14ac:dyDescent="0.15">
      <c r="A262" s="299"/>
      <c r="B262" s="301"/>
      <c r="C262" s="301"/>
      <c r="D262" s="301"/>
      <c r="E262" s="76"/>
      <c r="F262" s="76"/>
      <c r="G262" s="76"/>
      <c r="H262" s="76"/>
      <c r="I262" s="131"/>
      <c r="J262" s="76"/>
      <c r="K262" s="301"/>
      <c r="L262" s="301" t="s">
        <v>483</v>
      </c>
      <c r="M262" s="301"/>
      <c r="N262" s="301"/>
      <c r="O262" s="134"/>
      <c r="P262" s="134"/>
    </row>
    <row r="263" spans="1:16" ht="14" thickBot="1" x14ac:dyDescent="0.2">
      <c r="A263" s="299"/>
      <c r="B263" s="301"/>
      <c r="C263" s="301"/>
      <c r="D263" s="388"/>
      <c r="E263" s="138"/>
      <c r="F263" s="138"/>
      <c r="G263" s="138"/>
      <c r="H263" s="280"/>
      <c r="I263" s="280"/>
      <c r="J263" s="280"/>
      <c r="K263" s="301"/>
      <c r="L263" s="301" t="s">
        <v>484</v>
      </c>
      <c r="M263" s="301"/>
      <c r="N263" s="301"/>
      <c r="O263" s="76"/>
      <c r="P263" s="76"/>
    </row>
    <row r="264" spans="1:16" x14ac:dyDescent="0.15">
      <c r="A264" s="299"/>
      <c r="B264" s="451"/>
      <c r="C264" s="361"/>
      <c r="D264" s="301"/>
      <c r="E264" s="283" t="s">
        <v>485</v>
      </c>
      <c r="F264" s="283"/>
      <c r="G264" s="283"/>
      <c r="H264" s="286"/>
      <c r="I264" s="286"/>
      <c r="J264" s="128"/>
      <c r="K264" s="301"/>
      <c r="L264" s="301" t="s">
        <v>486</v>
      </c>
      <c r="M264" s="301"/>
      <c r="N264" s="301"/>
      <c r="O264" s="76"/>
      <c r="P264" s="76"/>
    </row>
    <row r="265" spans="1:16" x14ac:dyDescent="0.15">
      <c r="A265" s="299"/>
      <c r="B265" s="403"/>
      <c r="C265" s="301"/>
      <c r="D265" s="94" t="s">
        <v>487</v>
      </c>
      <c r="E265" s="129">
        <f>E102*E266</f>
        <v>-3376.5107888086022</v>
      </c>
      <c r="F265" s="129">
        <f>F102*F266</f>
        <v>-3644.7453005434918</v>
      </c>
      <c r="G265" s="129">
        <f>G102*G266</f>
        <v>-3934.7201881062279</v>
      </c>
      <c r="H265" s="129">
        <f>H102*H266</f>
        <v>-4248.1751639671229</v>
      </c>
      <c r="I265" s="129">
        <f>I102*I266</f>
        <v>-4586.9891320662164</v>
      </c>
      <c r="J265" s="130">
        <f>I265*$J$121</f>
        <v>-4770.4686973488651</v>
      </c>
      <c r="K265" s="301"/>
      <c r="L265" s="301"/>
      <c r="M265" s="301"/>
      <c r="N265" s="301"/>
      <c r="O265" s="76"/>
      <c r="P265" s="76"/>
    </row>
    <row r="266" spans="1:16" x14ac:dyDescent="0.15">
      <c r="A266" s="299"/>
      <c r="B266" s="403"/>
      <c r="C266" s="301"/>
      <c r="D266" s="132"/>
      <c r="E266" s="132">
        <v>-0.53600000000000003</v>
      </c>
      <c r="F266" s="132">
        <f>E266</f>
        <v>-0.53600000000000003</v>
      </c>
      <c r="G266" s="132">
        <f>F266</f>
        <v>-0.53600000000000003</v>
      </c>
      <c r="H266" s="132">
        <f>G266</f>
        <v>-0.53600000000000003</v>
      </c>
      <c r="I266" s="132">
        <f>H266</f>
        <v>-0.53600000000000003</v>
      </c>
      <c r="J266" s="133"/>
      <c r="K266" s="301"/>
      <c r="L266" s="301"/>
      <c r="M266" s="301"/>
      <c r="N266" s="301"/>
      <c r="O266" s="76"/>
      <c r="P266" s="76"/>
    </row>
    <row r="267" spans="1:16" x14ac:dyDescent="0.15">
      <c r="A267" s="299"/>
      <c r="B267" s="403"/>
      <c r="C267" s="301"/>
      <c r="D267" s="94"/>
      <c r="E267" s="135" t="s">
        <v>488</v>
      </c>
      <c r="F267" s="301"/>
      <c r="G267" s="301"/>
      <c r="H267" s="301"/>
      <c r="I267" s="301"/>
      <c r="J267" s="133"/>
      <c r="K267" s="301"/>
      <c r="L267" s="301"/>
      <c r="M267" s="301"/>
      <c r="N267" s="301"/>
      <c r="O267" s="134"/>
      <c r="P267" s="134"/>
    </row>
    <row r="268" spans="1:16" x14ac:dyDescent="0.15">
      <c r="A268" s="299"/>
      <c r="B268" s="403"/>
      <c r="C268" s="301"/>
      <c r="D268" s="94" t="s">
        <v>489</v>
      </c>
      <c r="E268" s="129">
        <f>E269</f>
        <v>-6000</v>
      </c>
      <c r="F268" s="129">
        <f>F269</f>
        <v>-6000</v>
      </c>
      <c r="G268" s="129">
        <f>G269</f>
        <v>-6000</v>
      </c>
      <c r="H268" s="129">
        <f>H269</f>
        <v>-6000</v>
      </c>
      <c r="I268" s="129">
        <f>I269</f>
        <v>-6000</v>
      </c>
      <c r="J268" s="130">
        <f>I268*$J$121</f>
        <v>-6240</v>
      </c>
      <c r="K268" s="301"/>
      <c r="L268" s="301"/>
      <c r="M268" s="301"/>
      <c r="N268" s="301"/>
      <c r="O268" s="134"/>
      <c r="P268" s="134"/>
    </row>
    <row r="269" spans="1:16" x14ac:dyDescent="0.15">
      <c r="A269" s="299"/>
      <c r="B269" s="403"/>
      <c r="C269" s="301"/>
      <c r="D269" s="94"/>
      <c r="E269" s="288">
        <v>-6000</v>
      </c>
      <c r="F269" s="288">
        <f>E269</f>
        <v>-6000</v>
      </c>
      <c r="G269" s="288">
        <f>F269</f>
        <v>-6000</v>
      </c>
      <c r="H269" s="288">
        <f>G269</f>
        <v>-6000</v>
      </c>
      <c r="I269" s="288">
        <f>H269</f>
        <v>-6000</v>
      </c>
      <c r="J269" s="133"/>
      <c r="K269" s="301"/>
      <c r="L269" s="301"/>
      <c r="M269" s="301"/>
      <c r="N269" s="301"/>
      <c r="O269" s="134"/>
      <c r="P269" s="134"/>
    </row>
    <row r="270" spans="1:16" x14ac:dyDescent="0.15">
      <c r="A270" s="299"/>
      <c r="B270" s="403"/>
      <c r="C270" s="301"/>
      <c r="D270" s="94"/>
      <c r="E270" s="135" t="s">
        <v>490</v>
      </c>
      <c r="F270" s="301"/>
      <c r="G270" s="301"/>
      <c r="H270" s="301"/>
      <c r="I270" s="301"/>
      <c r="J270" s="133"/>
      <c r="K270" s="301"/>
      <c r="L270" s="301"/>
      <c r="M270" s="301"/>
      <c r="N270" s="301"/>
      <c r="O270" s="134"/>
      <c r="P270" s="134"/>
    </row>
    <row r="271" spans="1:16" ht="14" thickBot="1" x14ac:dyDescent="0.2">
      <c r="A271" s="299"/>
      <c r="B271" s="403"/>
      <c r="C271" s="301"/>
      <c r="D271" s="94" t="s">
        <v>491</v>
      </c>
      <c r="E271" s="136">
        <f>E265+E268</f>
        <v>-9376.5107888086022</v>
      </c>
      <c r="F271" s="136">
        <f t="shared" ref="F271:J271" si="52">F265+F268</f>
        <v>-9644.7453005434909</v>
      </c>
      <c r="G271" s="136">
        <f t="shared" si="52"/>
        <v>-9934.7201881062283</v>
      </c>
      <c r="H271" s="136">
        <f t="shared" si="52"/>
        <v>-10248.175163967124</v>
      </c>
      <c r="I271" s="136">
        <f t="shared" si="52"/>
        <v>-10586.989132066217</v>
      </c>
      <c r="J271" s="137">
        <f t="shared" si="52"/>
        <v>-11010.468697348864</v>
      </c>
      <c r="K271" s="301"/>
      <c r="L271" s="301"/>
      <c r="M271" s="301"/>
      <c r="N271" s="301"/>
      <c r="O271" s="134"/>
      <c r="P271" s="134"/>
    </row>
    <row r="272" spans="1:16" ht="15" thickTop="1" thickBot="1" x14ac:dyDescent="0.2">
      <c r="A272" s="299"/>
      <c r="B272" s="452"/>
      <c r="C272" s="388"/>
      <c r="D272" s="388"/>
      <c r="E272" s="138" t="s">
        <v>492</v>
      </c>
      <c r="F272" s="138"/>
      <c r="G272" s="138"/>
      <c r="H272" s="138"/>
      <c r="I272" s="138"/>
      <c r="J272" s="139"/>
      <c r="K272" s="301"/>
      <c r="L272" s="301"/>
      <c r="M272" s="301"/>
      <c r="N272" s="301"/>
      <c r="O272" s="134"/>
      <c r="P272" s="134"/>
    </row>
    <row r="273" spans="1:16" ht="14" thickBot="1" x14ac:dyDescent="0.2">
      <c r="A273" s="299"/>
      <c r="B273" s="301"/>
      <c r="C273" s="301"/>
      <c r="D273" s="301"/>
      <c r="E273" s="76"/>
      <c r="F273" s="76"/>
      <c r="G273" s="76"/>
      <c r="H273" s="76"/>
      <c r="I273" s="76"/>
      <c r="J273" s="76"/>
      <c r="K273" s="301"/>
      <c r="L273" s="301"/>
      <c r="M273" s="301"/>
      <c r="N273" s="301"/>
      <c r="O273" s="134"/>
      <c r="P273" s="134"/>
    </row>
    <row r="274" spans="1:16" x14ac:dyDescent="0.15">
      <c r="A274" s="299"/>
      <c r="B274" s="451"/>
      <c r="C274" s="361"/>
      <c r="D274" s="282" t="s">
        <v>493</v>
      </c>
      <c r="E274" s="283" t="s">
        <v>494</v>
      </c>
      <c r="F274" s="283"/>
      <c r="G274" s="283"/>
      <c r="H274" s="283"/>
      <c r="I274" s="453"/>
      <c r="J274" s="284"/>
      <c r="K274" s="301"/>
      <c r="L274" s="301"/>
      <c r="M274" s="301"/>
      <c r="N274" s="301"/>
      <c r="O274" s="134"/>
      <c r="P274" s="134"/>
    </row>
    <row r="275" spans="1:16" x14ac:dyDescent="0.15">
      <c r="A275" s="299"/>
      <c r="B275" s="403"/>
      <c r="C275" s="301"/>
      <c r="D275" s="94" t="s">
        <v>495</v>
      </c>
      <c r="E275" s="76"/>
      <c r="F275" s="76"/>
      <c r="G275" s="76"/>
      <c r="H275" s="76"/>
      <c r="I275" s="76"/>
      <c r="J275" s="133"/>
      <c r="K275" s="301"/>
      <c r="L275" s="301"/>
      <c r="M275" s="301"/>
      <c r="N275" s="301"/>
      <c r="O275" s="134"/>
      <c r="P275" s="134"/>
    </row>
    <row r="276" spans="1:16" x14ac:dyDescent="0.15">
      <c r="A276" s="299"/>
      <c r="B276" s="403"/>
      <c r="C276" s="301"/>
      <c r="D276" s="281" t="str">
        <f>E274</f>
        <v>Additional Dividends and Share Repurchases</v>
      </c>
      <c r="E276" s="129">
        <f>E277</f>
        <v>0</v>
      </c>
      <c r="F276" s="129">
        <f>F277</f>
        <v>0</v>
      </c>
      <c r="G276" s="129">
        <f>G277</f>
        <v>0</v>
      </c>
      <c r="H276" s="129">
        <f>H277</f>
        <v>0</v>
      </c>
      <c r="I276" s="129">
        <f>I277</f>
        <v>0</v>
      </c>
      <c r="J276" s="133"/>
      <c r="K276" s="301"/>
      <c r="L276" s="301"/>
      <c r="M276" s="301"/>
      <c r="N276" s="301"/>
      <c r="O276" s="134"/>
      <c r="P276" s="134"/>
    </row>
    <row r="277" spans="1:16" x14ac:dyDescent="0.15">
      <c r="A277" s="299"/>
      <c r="B277" s="403"/>
      <c r="C277" s="301"/>
      <c r="D277" s="301"/>
      <c r="E277" s="279">
        <v>0</v>
      </c>
      <c r="F277" s="279">
        <f>E277</f>
        <v>0</v>
      </c>
      <c r="G277" s="279">
        <f>F277</f>
        <v>0</v>
      </c>
      <c r="H277" s="279">
        <f>G277</f>
        <v>0</v>
      </c>
      <c r="I277" s="279">
        <f>H277</f>
        <v>0</v>
      </c>
      <c r="J277" s="133"/>
      <c r="K277" s="301"/>
      <c r="L277" s="301"/>
      <c r="M277" s="301"/>
      <c r="N277" s="301"/>
      <c r="O277" s="134"/>
      <c r="P277" s="134"/>
    </row>
    <row r="278" spans="1:16" x14ac:dyDescent="0.15">
      <c r="A278" s="299"/>
      <c r="B278" s="403"/>
      <c r="C278" s="301"/>
      <c r="D278" s="301"/>
      <c r="E278" s="99" t="s">
        <v>496</v>
      </c>
      <c r="F278" s="99"/>
      <c r="G278" s="99"/>
      <c r="H278" s="99"/>
      <c r="I278" s="99"/>
      <c r="J278" s="133"/>
      <c r="K278" s="301"/>
      <c r="L278" s="301"/>
      <c r="M278" s="301"/>
      <c r="N278" s="301"/>
      <c r="O278" s="134"/>
      <c r="P278" s="134"/>
    </row>
    <row r="279" spans="1:16" x14ac:dyDescent="0.15">
      <c r="A279" s="299"/>
      <c r="B279" s="403"/>
      <c r="C279" s="301"/>
      <c r="D279" s="94" t="s">
        <v>497</v>
      </c>
      <c r="E279" s="291">
        <f ca="1">E261</f>
        <v>4221.6555911133601</v>
      </c>
      <c r="F279" s="291">
        <f t="shared" ref="F279:J279" ca="1" si="53">F261</f>
        <v>3862.6059157409563</v>
      </c>
      <c r="G279" s="291">
        <f t="shared" ca="1" si="53"/>
        <v>3571.718134496632</v>
      </c>
      <c r="H279" s="291">
        <f t="shared" ca="1" si="53"/>
        <v>3261.2795448489051</v>
      </c>
      <c r="I279" s="291">
        <f t="shared" ca="1" si="53"/>
        <v>2929.3813381433793</v>
      </c>
      <c r="J279" s="291">
        <f t="shared" ca="1" si="53"/>
        <v>29888.419639673841</v>
      </c>
      <c r="K279" s="301"/>
      <c r="L279" s="301"/>
      <c r="M279" s="301"/>
      <c r="N279" s="301"/>
      <c r="O279" s="131"/>
      <c r="P279" s="131"/>
    </row>
    <row r="280" spans="1:16" x14ac:dyDescent="0.15">
      <c r="A280" s="299"/>
      <c r="B280" s="403"/>
      <c r="C280" s="301"/>
      <c r="D280" s="301"/>
      <c r="E280" s="447" t="s">
        <v>498</v>
      </c>
      <c r="F280" s="76"/>
      <c r="G280" s="76"/>
      <c r="H280" s="76"/>
      <c r="I280" s="76"/>
      <c r="J280" s="133"/>
      <c r="K280" s="301"/>
      <c r="L280" s="301"/>
      <c r="M280" s="301"/>
      <c r="N280" s="301"/>
      <c r="O280" s="134"/>
      <c r="P280" s="134"/>
    </row>
    <row r="281" spans="1:16" ht="14" thickBot="1" x14ac:dyDescent="0.2">
      <c r="A281" s="299"/>
      <c r="B281" s="403"/>
      <c r="C281" s="301"/>
      <c r="D281" s="94" t="s">
        <v>499</v>
      </c>
      <c r="E281" s="108">
        <f t="shared" ref="E281:J281" ca="1" si="54">E276+E279</f>
        <v>4221.6555911133601</v>
      </c>
      <c r="F281" s="108">
        <f t="shared" ca="1" si="54"/>
        <v>3862.6059157409563</v>
      </c>
      <c r="G281" s="108">
        <f t="shared" ca="1" si="54"/>
        <v>3571.718134496632</v>
      </c>
      <c r="H281" s="108">
        <f t="shared" ca="1" si="54"/>
        <v>3261.2795448489051</v>
      </c>
      <c r="I281" s="108">
        <f t="shared" ca="1" si="54"/>
        <v>2929.3813381433793</v>
      </c>
      <c r="J281" s="292">
        <f t="shared" ca="1" si="54"/>
        <v>29888.419639673841</v>
      </c>
      <c r="K281" s="301"/>
      <c r="L281" s="301"/>
      <c r="M281" s="301"/>
      <c r="N281" s="301"/>
      <c r="O281" s="134"/>
      <c r="P281" s="134"/>
    </row>
    <row r="282" spans="1:16" ht="15" thickTop="1" thickBot="1" x14ac:dyDescent="0.2">
      <c r="A282" s="299"/>
      <c r="B282" s="452"/>
      <c r="C282" s="388"/>
      <c r="D282" s="388"/>
      <c r="E282" s="138" t="s">
        <v>500</v>
      </c>
      <c r="F282" s="138"/>
      <c r="G282" s="138"/>
      <c r="H282" s="138"/>
      <c r="I282" s="138"/>
      <c r="J282" s="139"/>
      <c r="K282" s="301"/>
      <c r="L282" s="301"/>
      <c r="M282" s="301"/>
      <c r="N282" s="301"/>
      <c r="O282" s="134"/>
      <c r="P282" s="134"/>
    </row>
    <row r="283" spans="1:16" x14ac:dyDescent="0.15">
      <c r="A283" s="299"/>
      <c r="B283" s="301"/>
      <c r="C283" s="301"/>
      <c r="D283" s="301"/>
      <c r="E283" s="76"/>
      <c r="F283" s="76"/>
      <c r="G283" s="76"/>
      <c r="H283" s="76"/>
      <c r="I283" s="76"/>
      <c r="J283" s="76"/>
      <c r="K283" s="301"/>
      <c r="L283" s="301"/>
      <c r="M283" s="301"/>
      <c r="N283" s="301"/>
      <c r="O283" s="76"/>
      <c r="P283" s="76"/>
    </row>
    <row r="284" spans="1:16" x14ac:dyDescent="0.15">
      <c r="A284" s="299"/>
      <c r="B284" s="301"/>
      <c r="C284" s="301"/>
      <c r="D284" s="301"/>
      <c r="E284" s="76"/>
      <c r="F284" s="76"/>
      <c r="G284" s="76"/>
      <c r="H284" s="76"/>
      <c r="I284" s="76"/>
      <c r="J284" s="76"/>
      <c r="K284" s="301"/>
      <c r="L284" s="301"/>
      <c r="M284" s="301"/>
      <c r="N284" s="301"/>
      <c r="O284" s="76"/>
      <c r="P284" s="76"/>
    </row>
    <row r="285" spans="1:16" x14ac:dyDescent="0.15">
      <c r="A285" s="299"/>
      <c r="B285" s="301"/>
      <c r="C285" s="301"/>
      <c r="D285" s="301"/>
      <c r="E285" s="76"/>
      <c r="F285" s="76"/>
      <c r="G285" s="76"/>
      <c r="H285" s="76"/>
      <c r="I285" s="76"/>
      <c r="J285" s="76"/>
      <c r="K285" s="301"/>
      <c r="L285" s="301"/>
      <c r="M285" s="301"/>
      <c r="N285" s="301"/>
      <c r="O285" s="134"/>
      <c r="P285" s="134"/>
    </row>
    <row r="286" spans="1:16" x14ac:dyDescent="0.15">
      <c r="A286" s="81" t="s">
        <v>414</v>
      </c>
      <c r="B286" s="82" t="s">
        <v>415</v>
      </c>
      <c r="C286" s="429"/>
      <c r="D286" s="429"/>
      <c r="E286" s="82"/>
      <c r="F286" s="429"/>
      <c r="G286" s="429"/>
      <c r="H286" s="429"/>
      <c r="I286" s="429"/>
      <c r="J286" s="430"/>
      <c r="K286" s="301"/>
      <c r="L286" s="301"/>
      <c r="M286" s="301"/>
      <c r="N286" s="301"/>
      <c r="O286" s="134"/>
      <c r="P286" s="134"/>
    </row>
    <row r="287" spans="1:16" x14ac:dyDescent="0.15">
      <c r="A287" s="83" t="str">
        <f>Data!A9</f>
        <v>Analyst Name:</v>
      </c>
      <c r="B287" s="140" t="str">
        <f>Data!B9</f>
        <v>Durdona Karimova &amp; Vincenzo Giordano</v>
      </c>
      <c r="C287" s="429"/>
      <c r="D287" s="429"/>
      <c r="E287" s="82"/>
      <c r="F287" s="429"/>
      <c r="G287" s="429"/>
      <c r="H287" s="429"/>
      <c r="I287" s="429"/>
      <c r="J287" s="430"/>
      <c r="K287" s="301"/>
      <c r="L287" s="301"/>
      <c r="M287" s="301"/>
      <c r="N287" s="301"/>
      <c r="O287" s="76"/>
      <c r="P287" s="76"/>
    </row>
    <row r="288" spans="1:16" x14ac:dyDescent="0.15">
      <c r="A288" s="83" t="str">
        <f>Data!A10</f>
        <v>Company Name:</v>
      </c>
      <c r="B288" s="141" t="str">
        <f>Data!B10</f>
        <v>L'Oreal</v>
      </c>
      <c r="C288" s="427"/>
      <c r="D288" s="427"/>
      <c r="E288" s="142"/>
      <c r="F288" s="427"/>
      <c r="G288" s="427"/>
      <c r="H288" s="427"/>
      <c r="I288" s="427"/>
      <c r="J288" s="445"/>
      <c r="K288" s="301"/>
      <c r="L288" s="301"/>
      <c r="M288" s="301"/>
      <c r="N288" s="301"/>
      <c r="O288" s="76"/>
      <c r="P288" s="76"/>
    </row>
    <row r="289" spans="1:16" ht="14" thickBot="1" x14ac:dyDescent="0.2">
      <c r="A289" s="299"/>
      <c r="B289" s="371"/>
      <c r="C289" s="454"/>
      <c r="D289" s="454"/>
      <c r="E289" s="454"/>
      <c r="F289" s="454"/>
      <c r="G289" s="454"/>
      <c r="H289" s="454"/>
      <c r="I289" s="454"/>
      <c r="J289" s="454"/>
      <c r="K289" s="301"/>
      <c r="L289" s="301"/>
      <c r="M289" s="301"/>
      <c r="N289" s="301"/>
      <c r="O289" s="76"/>
      <c r="P289" s="76"/>
    </row>
    <row r="290" spans="1:16" ht="14" thickTop="1" x14ac:dyDescent="0.15">
      <c r="A290" s="35"/>
      <c r="B290" s="301"/>
      <c r="C290" s="92" t="s">
        <v>501</v>
      </c>
      <c r="D290" s="436"/>
      <c r="E290" s="93" t="s">
        <v>429</v>
      </c>
      <c r="F290" s="437"/>
      <c r="G290" s="437"/>
      <c r="H290" s="437"/>
      <c r="I290" s="437"/>
      <c r="J290" s="93"/>
      <c r="K290" s="301"/>
      <c r="L290" s="37" t="s">
        <v>502</v>
      </c>
      <c r="M290" s="301"/>
      <c r="N290" s="301"/>
      <c r="O290" s="134"/>
      <c r="P290" s="134"/>
    </row>
    <row r="291" spans="1:16" x14ac:dyDescent="0.15">
      <c r="A291" s="35" t="s">
        <v>503</v>
      </c>
      <c r="B291" s="94"/>
      <c r="C291" s="94">
        <f>C19</f>
        <v>2023</v>
      </c>
      <c r="D291" s="94">
        <f>D19</f>
        <v>2024</v>
      </c>
      <c r="E291" s="94" t="str">
        <f t="shared" ref="E291:J291" si="55">E$19</f>
        <v>Year +1</v>
      </c>
      <c r="F291" s="94" t="str">
        <f t="shared" si="55"/>
        <v>Year +2</v>
      </c>
      <c r="G291" s="94" t="str">
        <f t="shared" si="55"/>
        <v>Year +3</v>
      </c>
      <c r="H291" s="94" t="str">
        <f t="shared" si="55"/>
        <v>Year +4</v>
      </c>
      <c r="I291" s="94" t="str">
        <f t="shared" si="55"/>
        <v>Year +5</v>
      </c>
      <c r="J291" s="94" t="str">
        <f t="shared" si="55"/>
        <v>Year +6</v>
      </c>
      <c r="K291" s="301"/>
      <c r="L291" s="301" t="s">
        <v>504</v>
      </c>
      <c r="M291" s="301"/>
      <c r="N291" s="301"/>
      <c r="O291" s="76"/>
      <c r="P291" s="76"/>
    </row>
    <row r="292" spans="1:16" x14ac:dyDescent="0.15">
      <c r="A292" s="35"/>
      <c r="B292" s="301"/>
      <c r="C292" s="301"/>
      <c r="D292" s="301"/>
      <c r="E292" s="37"/>
      <c r="F292" s="301"/>
      <c r="G292" s="301"/>
      <c r="H292" s="301"/>
      <c r="I292" s="301"/>
      <c r="J292" s="115"/>
      <c r="K292" s="301"/>
      <c r="L292" s="301"/>
      <c r="M292" s="301"/>
      <c r="N292" s="301"/>
      <c r="O292" s="76"/>
      <c r="P292" s="76"/>
    </row>
    <row r="293" spans="1:16" x14ac:dyDescent="0.15">
      <c r="A293" s="35" t="s">
        <v>127</v>
      </c>
      <c r="B293" s="37"/>
      <c r="C293" s="8">
        <f t="shared" ref="C293:J293" si="56">C96</f>
        <v>6190.4999999999973</v>
      </c>
      <c r="D293" s="8">
        <f t="shared" si="56"/>
        <v>6416.5000000000009</v>
      </c>
      <c r="E293" s="8">
        <f>E96</f>
        <v>6299.6854268817206</v>
      </c>
      <c r="F293" s="8">
        <f t="shared" si="56"/>
        <v>6800.1229487751716</v>
      </c>
      <c r="G293" s="8">
        <f t="shared" si="56"/>
        <v>7341.1208733325147</v>
      </c>
      <c r="H293" s="8">
        <f t="shared" si="56"/>
        <v>7925.9249327744828</v>
      </c>
      <c r="I293" s="8">
        <f t="shared" si="56"/>
        <v>8558.0405448996571</v>
      </c>
      <c r="J293" s="8">
        <f t="shared" si="56"/>
        <v>8900.3621666956533</v>
      </c>
      <c r="K293" s="301">
        <v>1</v>
      </c>
      <c r="L293" s="76"/>
      <c r="M293" s="301"/>
      <c r="N293" s="76"/>
      <c r="O293" s="131"/>
      <c r="P293" s="131"/>
    </row>
    <row r="294" spans="1:16" x14ac:dyDescent="0.15">
      <c r="A294" s="299" t="s">
        <v>505</v>
      </c>
      <c r="B294" s="37"/>
      <c r="C294" s="8">
        <f>B157-C157</f>
        <v>0</v>
      </c>
      <c r="D294" s="8">
        <f t="shared" ref="D294:J294" si="57">C157-D157</f>
        <v>0</v>
      </c>
      <c r="E294" s="8">
        <f t="shared" si="57"/>
        <v>378.73333333333335</v>
      </c>
      <c r="F294" s="8">
        <f t="shared" si="57"/>
        <v>477.33333333333326</v>
      </c>
      <c r="G294" s="8">
        <f t="shared" si="57"/>
        <v>575.93333333333339</v>
      </c>
      <c r="H294" s="8">
        <f t="shared" si="57"/>
        <v>674.5333333333333</v>
      </c>
      <c r="I294" s="8">
        <f t="shared" si="57"/>
        <v>773.13333333333321</v>
      </c>
      <c r="J294" s="8">
        <f t="shared" si="57"/>
        <v>115.18666666666695</v>
      </c>
      <c r="K294" s="301">
        <v>2</v>
      </c>
      <c r="L294" s="301" t="s">
        <v>506</v>
      </c>
      <c r="M294" s="301"/>
      <c r="N294" s="76"/>
      <c r="O294" s="134"/>
      <c r="P294" s="134"/>
    </row>
    <row r="295" spans="1:16" x14ac:dyDescent="0.15">
      <c r="A295" s="299" t="s">
        <v>507</v>
      </c>
      <c r="B295" s="37"/>
      <c r="C295" s="8">
        <v>1715</v>
      </c>
      <c r="D295" s="8">
        <v>1855.3</v>
      </c>
      <c r="E295" s="8">
        <f t="shared" ref="E295:J295" si="58">-E37</f>
        <v>15029.038080000002</v>
      </c>
      <c r="F295" s="8">
        <f t="shared" si="58"/>
        <v>16231.361126400005</v>
      </c>
      <c r="G295" s="8">
        <f t="shared" si="58"/>
        <v>17529.870016512006</v>
      </c>
      <c r="H295" s="8">
        <f t="shared" si="58"/>
        <v>18932.259617832966</v>
      </c>
      <c r="I295" s="8">
        <f t="shared" si="58"/>
        <v>20446.840387259606</v>
      </c>
      <c r="J295" s="8">
        <f t="shared" si="58"/>
        <v>21264.714002749992</v>
      </c>
      <c r="K295" s="301">
        <v>3</v>
      </c>
      <c r="L295" s="301" t="s">
        <v>508</v>
      </c>
      <c r="M295" s="301"/>
      <c r="N295" s="76"/>
      <c r="O295" s="134"/>
      <c r="P295" s="134"/>
    </row>
    <row r="296" spans="1:16" x14ac:dyDescent="0.15">
      <c r="A296" s="299" t="s">
        <v>509</v>
      </c>
      <c r="B296" s="37"/>
      <c r="C296" s="8">
        <f>B133-C133</f>
        <v>-337.19999999999982</v>
      </c>
      <c r="D296" s="8">
        <f t="shared" ref="D296:J296" si="59">C133-D133</f>
        <v>-509.10000000000036</v>
      </c>
      <c r="E296" s="8">
        <f t="shared" si="59"/>
        <v>-448.14400000000023</v>
      </c>
      <c r="F296" s="8">
        <f t="shared" si="59"/>
        <v>-483.9955200000004</v>
      </c>
      <c r="G296" s="8">
        <f t="shared" si="59"/>
        <v>-522.7151616000001</v>
      </c>
      <c r="H296" s="8">
        <f t="shared" si="59"/>
        <v>-564.53237452800022</v>
      </c>
      <c r="I296" s="8">
        <f t="shared" si="59"/>
        <v>-609.69496449023973</v>
      </c>
      <c r="J296" s="8">
        <f t="shared" si="59"/>
        <v>-329.23528082473058</v>
      </c>
      <c r="K296" s="301">
        <v>4</v>
      </c>
      <c r="L296" s="76"/>
      <c r="M296" s="301"/>
      <c r="N296" s="76"/>
      <c r="O296" s="134"/>
      <c r="P296" s="134"/>
    </row>
    <row r="297" spans="1:16" x14ac:dyDescent="0.15">
      <c r="A297" s="299" t="s">
        <v>134</v>
      </c>
      <c r="B297" s="37"/>
      <c r="C297" s="8">
        <f t="shared" ref="C297:J297" si="60">B136-C136</f>
        <v>-403.39999999999964</v>
      </c>
      <c r="D297" s="8">
        <f t="shared" si="60"/>
        <v>-147.70000000000073</v>
      </c>
      <c r="E297" s="8">
        <f t="shared" si="60"/>
        <v>-370.40800000000036</v>
      </c>
      <c r="F297" s="8">
        <f t="shared" si="60"/>
        <v>-400.04064000000017</v>
      </c>
      <c r="G297" s="8">
        <f t="shared" si="60"/>
        <v>-432.04389120000087</v>
      </c>
      <c r="H297" s="8">
        <f t="shared" si="60"/>
        <v>-466.60740249600076</v>
      </c>
      <c r="I297" s="8">
        <f t="shared" si="60"/>
        <v>-503.93599469568107</v>
      </c>
      <c r="J297" s="8">
        <f t="shared" si="60"/>
        <v>-272.1254371356672</v>
      </c>
      <c r="K297" s="301">
        <v>5</v>
      </c>
      <c r="L297" s="76"/>
      <c r="M297" s="301"/>
      <c r="N297" s="76"/>
      <c r="O297" s="134"/>
      <c r="P297" s="134"/>
    </row>
    <row r="298" spans="1:16" x14ac:dyDescent="0.15">
      <c r="A298" s="299" t="s">
        <v>135</v>
      </c>
      <c r="B298" s="37"/>
      <c r="C298" s="8">
        <f t="shared" ref="C298:J298" si="61">B139-C139</f>
        <v>152.59999999999991</v>
      </c>
      <c r="D298" s="8">
        <f t="shared" si="61"/>
        <v>315.29999999999995</v>
      </c>
      <c r="E298" s="8">
        <f t="shared" si="61"/>
        <v>-156.42400000000021</v>
      </c>
      <c r="F298" s="8">
        <f t="shared" si="61"/>
        <v>-168.9379200000003</v>
      </c>
      <c r="G298" s="8">
        <f t="shared" si="61"/>
        <v>-182.4529536</v>
      </c>
      <c r="H298" s="8">
        <f t="shared" si="61"/>
        <v>-197.049189888</v>
      </c>
      <c r="I298" s="8">
        <f t="shared" si="61"/>
        <v>-212.81312507904022</v>
      </c>
      <c r="J298" s="8">
        <f t="shared" si="61"/>
        <v>-114.91908754268161</v>
      </c>
      <c r="K298" s="301">
        <v>6</v>
      </c>
      <c r="L298" s="76"/>
      <c r="M298" s="301"/>
      <c r="N298" s="76"/>
      <c r="O298" s="134"/>
      <c r="P298" s="134"/>
    </row>
    <row r="299" spans="1:16" x14ac:dyDescent="0.15">
      <c r="A299" s="299" t="s">
        <v>510</v>
      </c>
      <c r="B299" s="37"/>
      <c r="C299" s="8">
        <f>B142-C142</f>
        <v>-17.699999999999989</v>
      </c>
      <c r="D299" s="8">
        <f t="shared" ref="D299:J299" si="62">C142-D142</f>
        <v>-42.5</v>
      </c>
      <c r="E299" s="8">
        <f t="shared" si="62"/>
        <v>-18.728000000000009</v>
      </c>
      <c r="F299" s="8">
        <f t="shared" si="62"/>
        <v>-20.22623999999999</v>
      </c>
      <c r="G299" s="8">
        <f t="shared" si="62"/>
        <v>-21.844339200000036</v>
      </c>
      <c r="H299" s="8">
        <f t="shared" si="62"/>
        <v>-23.591886336000016</v>
      </c>
      <c r="I299" s="8">
        <f t="shared" si="62"/>
        <v>-25.479237242880004</v>
      </c>
      <c r="J299" s="8">
        <f t="shared" si="62"/>
        <v>-13.758788111155241</v>
      </c>
      <c r="K299" s="301">
        <v>7</v>
      </c>
      <c r="L299" s="76"/>
      <c r="M299" s="76"/>
      <c r="N299" s="76"/>
      <c r="O299" s="134"/>
      <c r="P299" s="134"/>
    </row>
    <row r="300" spans="1:16" x14ac:dyDescent="0.15">
      <c r="A300" s="299" t="s">
        <v>511</v>
      </c>
      <c r="B300" s="37"/>
      <c r="C300" s="8">
        <f>B145-C145</f>
        <v>0</v>
      </c>
      <c r="D300" s="8">
        <f t="shared" ref="D300:J300" si="63">C145-D145</f>
        <v>0</v>
      </c>
      <c r="E300" s="8">
        <f t="shared" si="63"/>
        <v>0</v>
      </c>
      <c r="F300" s="8">
        <f t="shared" si="63"/>
        <v>0</v>
      </c>
      <c r="G300" s="8">
        <f t="shared" si="63"/>
        <v>0</v>
      </c>
      <c r="H300" s="8">
        <f t="shared" si="63"/>
        <v>0</v>
      </c>
      <c r="I300" s="8">
        <f t="shared" si="63"/>
        <v>0</v>
      </c>
      <c r="J300" s="8">
        <f t="shared" si="63"/>
        <v>0</v>
      </c>
      <c r="K300" s="301">
        <v>8</v>
      </c>
      <c r="L300" s="76"/>
      <c r="M300" s="76"/>
      <c r="N300" s="76"/>
      <c r="O300" s="134"/>
      <c r="P300" s="134"/>
    </row>
    <row r="301" spans="1:16" x14ac:dyDescent="0.15">
      <c r="A301" s="299" t="s">
        <v>512</v>
      </c>
      <c r="B301" s="37"/>
      <c r="C301" s="8">
        <f>C184-B184</f>
        <v>1.3999999999996362</v>
      </c>
      <c r="D301" s="8">
        <f>D184-C184</f>
        <v>121.5</v>
      </c>
      <c r="E301" s="8">
        <f t="shared" ref="E301:J301" si="64">E184-D184</f>
        <v>517.48000000000047</v>
      </c>
      <c r="F301" s="8">
        <f t="shared" si="64"/>
        <v>558.87840000000051</v>
      </c>
      <c r="G301" s="8">
        <f t="shared" si="64"/>
        <v>603.58867200000077</v>
      </c>
      <c r="H301" s="8">
        <f t="shared" si="64"/>
        <v>651.87576576000083</v>
      </c>
      <c r="I301" s="8">
        <f t="shared" si="64"/>
        <v>704.02582702080144</v>
      </c>
      <c r="J301" s="8">
        <f t="shared" si="64"/>
        <v>380.17394659123238</v>
      </c>
      <c r="K301" s="301">
        <v>9</v>
      </c>
      <c r="L301" s="76"/>
      <c r="M301" s="76"/>
      <c r="N301" s="76"/>
      <c r="O301" s="76"/>
      <c r="P301" s="76"/>
    </row>
    <row r="302" spans="1:16" x14ac:dyDescent="0.15">
      <c r="A302" s="299" t="s">
        <v>513</v>
      </c>
      <c r="B302" s="37"/>
      <c r="C302" s="8">
        <f>C187-B187</f>
        <v>0</v>
      </c>
      <c r="D302" s="8">
        <f t="shared" ref="D302:J302" si="65">D187-C187</f>
        <v>0</v>
      </c>
      <c r="E302" s="8">
        <f t="shared" si="65"/>
        <v>0</v>
      </c>
      <c r="F302" s="8">
        <f t="shared" si="65"/>
        <v>0</v>
      </c>
      <c r="G302" s="8">
        <f t="shared" si="65"/>
        <v>0</v>
      </c>
      <c r="H302" s="8">
        <f t="shared" si="65"/>
        <v>0</v>
      </c>
      <c r="I302" s="8">
        <f t="shared" si="65"/>
        <v>0</v>
      </c>
      <c r="J302" s="8">
        <f t="shared" si="65"/>
        <v>0</v>
      </c>
      <c r="K302" s="301">
        <v>10</v>
      </c>
      <c r="L302" s="76"/>
      <c r="M302" s="76"/>
      <c r="N302" s="76"/>
      <c r="O302" s="76"/>
      <c r="P302" s="76"/>
    </row>
    <row r="303" spans="1:16" x14ac:dyDescent="0.15">
      <c r="A303" s="299" t="s">
        <v>139</v>
      </c>
      <c r="B303" s="37"/>
      <c r="C303" s="8">
        <f>C202-B202</f>
        <v>-56.099999999999994</v>
      </c>
      <c r="D303" s="8">
        <f>D202-C202</f>
        <v>67.000000000000028</v>
      </c>
      <c r="E303" s="8">
        <f t="shared" ref="E303:J303" ca="1" si="66">E202-D202</f>
        <v>33.862022745707065</v>
      </c>
      <c r="F303" s="8">
        <f t="shared" ca="1" si="66"/>
        <v>27.921614599067539</v>
      </c>
      <c r="G303" s="8">
        <f t="shared" ca="1" si="66"/>
        <v>28.99250489641986</v>
      </c>
      <c r="H303" s="8">
        <f t="shared" ca="1" si="66"/>
        <v>30.189229350350729</v>
      </c>
      <c r="I303" s="8">
        <f t="shared" ca="1" si="66"/>
        <v>31.521854693385933</v>
      </c>
      <c r="J303" s="8">
        <f t="shared" ca="1" si="66"/>
        <v>17.103489051397275</v>
      </c>
      <c r="K303" s="301">
        <v>11</v>
      </c>
      <c r="L303" s="76"/>
      <c r="M303" s="76"/>
      <c r="N303" s="76"/>
      <c r="O303" s="134"/>
      <c r="P303" s="134"/>
    </row>
    <row r="304" spans="1:16" x14ac:dyDescent="0.15">
      <c r="A304" s="299" t="s">
        <v>514</v>
      </c>
      <c r="B304" s="37"/>
      <c r="C304" s="8">
        <f>C205-B205</f>
        <v>331.5</v>
      </c>
      <c r="D304" s="8">
        <f>D205-C205</f>
        <v>133.5</v>
      </c>
      <c r="E304" s="8">
        <f t="shared" ref="E304:J304" ca="1" si="67">E205-D205</f>
        <v>611.71640942272643</v>
      </c>
      <c r="F304" s="8">
        <f t="shared" ca="1" si="67"/>
        <v>502.58906278321592</v>
      </c>
      <c r="G304" s="8">
        <f t="shared" ca="1" si="67"/>
        <v>521.86508813555702</v>
      </c>
      <c r="H304" s="8">
        <f t="shared" ca="1" si="67"/>
        <v>543.4061283063138</v>
      </c>
      <c r="I304" s="8">
        <f t="shared" ca="1" si="67"/>
        <v>567.39338448094713</v>
      </c>
      <c r="J304" s="8">
        <f t="shared" ca="1" si="67"/>
        <v>307.86280292515039</v>
      </c>
      <c r="K304" s="301">
        <v>12</v>
      </c>
      <c r="L304" s="76"/>
      <c r="M304" s="76"/>
      <c r="N304" s="76"/>
      <c r="O304" s="76"/>
      <c r="P304" s="76"/>
    </row>
    <row r="305" spans="1:16" x14ac:dyDescent="0.15">
      <c r="A305" s="299" t="s">
        <v>515</v>
      </c>
      <c r="B305" s="37"/>
      <c r="C305" s="8">
        <f>(B172-C172)+(C220-B220)</f>
        <v>-179.10000000000002</v>
      </c>
      <c r="D305" s="8">
        <f>(C172-D172)+(D220-C220)</f>
        <v>65.800000000000068</v>
      </c>
      <c r="E305" s="8">
        <f t="shared" ref="E305:J305" ca="1" si="68">(D172-E172)+(E220-D220)</f>
        <v>-22.096202274570715</v>
      </c>
      <c r="F305" s="8">
        <f t="shared" ca="1" si="68"/>
        <v>-2.7921614599065379</v>
      </c>
      <c r="G305" s="8">
        <f t="shared" ca="1" si="68"/>
        <v>-2.8992504896420996</v>
      </c>
      <c r="H305" s="8">
        <f t="shared" ca="1" si="68"/>
        <v>-3.0189229350348796</v>
      </c>
      <c r="I305" s="8">
        <f t="shared" ca="1" si="68"/>
        <v>-3.1521854693387468</v>
      </c>
      <c r="J305" s="8">
        <f t="shared" ca="1" si="68"/>
        <v>-1.7103489051396537</v>
      </c>
      <c r="K305" s="301">
        <v>16</v>
      </c>
      <c r="L305" s="76"/>
      <c r="M305" s="76"/>
      <c r="N305" s="76"/>
      <c r="O305" s="131"/>
      <c r="P305" s="131"/>
    </row>
    <row r="306" spans="1:16" x14ac:dyDescent="0.15">
      <c r="A306" s="299" t="s">
        <v>516</v>
      </c>
      <c r="B306" s="37"/>
      <c r="C306" s="8">
        <f t="shared" ref="C306:J306" si="69">C223-B223</f>
        <v>-19.900000000000034</v>
      </c>
      <c r="D306" s="8">
        <f t="shared" si="69"/>
        <v>-31.399999999999977</v>
      </c>
      <c r="E306" s="8">
        <f t="shared" ca="1" si="69"/>
        <v>-193.40379772542931</v>
      </c>
      <c r="F306" s="8">
        <f t="shared" ca="1" si="69"/>
        <v>2.7921614599067546</v>
      </c>
      <c r="G306" s="8">
        <f t="shared" ca="1" si="69"/>
        <v>2.899250489641986</v>
      </c>
      <c r="H306" s="8">
        <f t="shared" ca="1" si="69"/>
        <v>3.0189229350350715</v>
      </c>
      <c r="I306" s="8">
        <f t="shared" ca="1" si="69"/>
        <v>3.1521854693385976</v>
      </c>
      <c r="J306" s="8">
        <f t="shared" ca="1" si="69"/>
        <v>1.7103489051397247</v>
      </c>
      <c r="K306" s="301">
        <v>17</v>
      </c>
      <c r="L306" s="76"/>
      <c r="M306" s="76"/>
      <c r="N306" s="76"/>
      <c r="O306" s="134"/>
      <c r="P306" s="134"/>
    </row>
    <row r="307" spans="1:16" x14ac:dyDescent="0.15">
      <c r="A307" s="35" t="s">
        <v>517</v>
      </c>
      <c r="B307" s="37"/>
      <c r="C307" s="100">
        <f t="shared" ref="C307:J307" si="70">SUM(C293:C306)</f>
        <v>7377.5999999999976</v>
      </c>
      <c r="D307" s="100">
        <f t="shared" si="70"/>
        <v>8244.1999999999989</v>
      </c>
      <c r="E307" s="100">
        <f t="shared" ca="1" si="70"/>
        <v>21661.311272383489</v>
      </c>
      <c r="F307" s="100">
        <f t="shared" ca="1" si="70"/>
        <v>23525.006165890794</v>
      </c>
      <c r="G307" s="100">
        <f t="shared" ca="1" si="70"/>
        <v>25442.314142609834</v>
      </c>
      <c r="H307" s="100">
        <f t="shared" ca="1" si="70"/>
        <v>27506.408154109449</v>
      </c>
      <c r="I307" s="100">
        <f t="shared" ca="1" si="70"/>
        <v>29729.032010179886</v>
      </c>
      <c r="J307" s="100">
        <f t="shared" ca="1" si="70"/>
        <v>30255.364481065859</v>
      </c>
      <c r="K307" s="301">
        <v>18</v>
      </c>
      <c r="L307" s="76"/>
      <c r="M307" s="76"/>
      <c r="N307" s="76"/>
      <c r="O307" s="134"/>
      <c r="P307" s="134"/>
    </row>
    <row r="308" spans="1:16" x14ac:dyDescent="0.15">
      <c r="A308" s="299" t="s">
        <v>518</v>
      </c>
      <c r="B308" s="37"/>
      <c r="C308" s="8">
        <f>B154-C154</f>
        <v>-386</v>
      </c>
      <c r="D308" s="500">
        <f t="shared" ref="D308:J308" si="71">C154-D154</f>
        <v>-334.30000000000018</v>
      </c>
      <c r="E308" s="8">
        <f t="shared" si="71"/>
        <v>-1479</v>
      </c>
      <c r="F308" s="8">
        <f t="shared" si="71"/>
        <v>-1479</v>
      </c>
      <c r="G308" s="8">
        <f t="shared" si="71"/>
        <v>-1479</v>
      </c>
      <c r="H308" s="8">
        <f t="shared" si="71"/>
        <v>-1479</v>
      </c>
      <c r="I308" s="8">
        <f t="shared" si="71"/>
        <v>-1479</v>
      </c>
      <c r="J308" s="8">
        <f t="shared" si="71"/>
        <v>-463.88000000000102</v>
      </c>
      <c r="K308" s="301">
        <v>19</v>
      </c>
      <c r="L308" s="76"/>
      <c r="M308" s="76"/>
      <c r="N308" s="76"/>
      <c r="O308" s="134"/>
      <c r="P308" s="134"/>
    </row>
    <row r="309" spans="1:16" x14ac:dyDescent="0.15">
      <c r="A309" s="299" t="s">
        <v>519</v>
      </c>
      <c r="B309" s="37"/>
      <c r="C309" s="8">
        <f>(B160-C160)</f>
        <v>-209.70000000000005</v>
      </c>
      <c r="D309" s="8">
        <f>(C160-D160)</f>
        <v>-70.799999999999955</v>
      </c>
      <c r="E309" s="8">
        <f t="shared" ref="E309:J309" si="72">(D160-E160)</f>
        <v>-620.6027605901952</v>
      </c>
      <c r="F309" s="8">
        <f t="shared" si="72"/>
        <v>-620.60276059019498</v>
      </c>
      <c r="G309" s="8">
        <f t="shared" si="72"/>
        <v>-620.60276059019498</v>
      </c>
      <c r="H309" s="8">
        <f t="shared" si="72"/>
        <v>-620.60276059019543</v>
      </c>
      <c r="I309" s="8">
        <f t="shared" si="72"/>
        <v>-620.60276059019452</v>
      </c>
      <c r="J309" s="8">
        <f t="shared" si="72"/>
        <v>-194.64855211803933</v>
      </c>
      <c r="K309" s="301">
        <v>20</v>
      </c>
      <c r="L309" s="76"/>
      <c r="M309" s="76"/>
      <c r="N309" s="76"/>
      <c r="O309" s="76"/>
      <c r="P309" s="76"/>
    </row>
    <row r="310" spans="1:16" x14ac:dyDescent="0.15">
      <c r="A310" s="299" t="s">
        <v>520</v>
      </c>
      <c r="B310" s="37"/>
      <c r="C310" s="8">
        <f t="shared" ref="C310:J310" si="73">B163-C163</f>
        <v>0</v>
      </c>
      <c r="D310" s="8">
        <f t="shared" si="73"/>
        <v>0</v>
      </c>
      <c r="E310" s="8">
        <f t="shared" si="73"/>
        <v>0</v>
      </c>
      <c r="F310" s="8">
        <f t="shared" si="73"/>
        <v>0</v>
      </c>
      <c r="G310" s="8">
        <f t="shared" si="73"/>
        <v>0</v>
      </c>
      <c r="H310" s="8">
        <f t="shared" si="73"/>
        <v>0</v>
      </c>
      <c r="I310" s="8">
        <f t="shared" si="73"/>
        <v>0</v>
      </c>
      <c r="J310" s="8">
        <f t="shared" si="73"/>
        <v>0</v>
      </c>
      <c r="K310" s="301">
        <v>21</v>
      </c>
      <c r="L310" s="76"/>
      <c r="M310" s="76"/>
      <c r="N310" s="76"/>
      <c r="O310" s="76"/>
      <c r="P310" s="76"/>
    </row>
    <row r="311" spans="1:16" x14ac:dyDescent="0.15">
      <c r="A311" s="299" t="s">
        <v>521</v>
      </c>
      <c r="B311" s="37"/>
      <c r="C311" s="8">
        <f t="shared" ref="C311:J311" si="74">B166-C166</f>
        <v>-1384.8999999999996</v>
      </c>
      <c r="D311" s="8">
        <f t="shared" si="74"/>
        <v>-279.39999999999964</v>
      </c>
      <c r="E311" s="8">
        <f t="shared" si="74"/>
        <v>-1070.5600000000013</v>
      </c>
      <c r="F311" s="8">
        <f t="shared" si="74"/>
        <v>-1156.2048000000013</v>
      </c>
      <c r="G311" s="8">
        <f t="shared" si="74"/>
        <v>-1248.7011839999996</v>
      </c>
      <c r="H311" s="8">
        <f t="shared" si="74"/>
        <v>-1348.5972787200008</v>
      </c>
      <c r="I311" s="8">
        <f t="shared" si="74"/>
        <v>-1456.4850610175999</v>
      </c>
      <c r="J311" s="8">
        <f t="shared" si="74"/>
        <v>-786.50193294950441</v>
      </c>
      <c r="K311" s="301">
        <v>22</v>
      </c>
      <c r="L311" s="76"/>
      <c r="M311" s="76"/>
      <c r="N311" s="76"/>
      <c r="O311" s="134"/>
      <c r="P311" s="134"/>
    </row>
    <row r="312" spans="1:16" x14ac:dyDescent="0.15">
      <c r="A312" s="299" t="s">
        <v>522</v>
      </c>
      <c r="B312" s="37"/>
      <c r="C312" s="8">
        <f t="shared" ref="C312:J312" si="75">B169-C169</f>
        <v>-647.00000000000045</v>
      </c>
      <c r="D312" s="8">
        <f t="shared" si="75"/>
        <v>-307.69999999999982</v>
      </c>
      <c r="E312" s="8">
        <f t="shared" si="75"/>
        <v>-3.6758399999998801</v>
      </c>
      <c r="F312" s="8">
        <f t="shared" si="75"/>
        <v>0</v>
      </c>
      <c r="G312" s="8">
        <f t="shared" si="75"/>
        <v>0</v>
      </c>
      <c r="H312" s="8">
        <f t="shared" si="75"/>
        <v>0</v>
      </c>
      <c r="I312" s="8">
        <f t="shared" si="75"/>
        <v>0</v>
      </c>
      <c r="J312" s="8">
        <f t="shared" si="75"/>
        <v>-183.93903360000058</v>
      </c>
      <c r="K312" s="301">
        <v>23</v>
      </c>
      <c r="L312" s="76"/>
      <c r="M312" s="76"/>
      <c r="N312" s="76"/>
      <c r="O312" s="134"/>
      <c r="P312" s="134"/>
    </row>
    <row r="313" spans="1:16" x14ac:dyDescent="0.15">
      <c r="A313" s="299" t="s">
        <v>523</v>
      </c>
      <c r="B313" s="37"/>
      <c r="C313" s="8">
        <f t="shared" ref="C313:J313" si="76">B175-C175</f>
        <v>21.199999999998909</v>
      </c>
      <c r="D313" s="8">
        <f t="shared" si="76"/>
        <v>-3206.5</v>
      </c>
      <c r="E313" s="8">
        <f t="shared" si="76"/>
        <v>-1187.0480000000007</v>
      </c>
      <c r="F313" s="8">
        <f t="shared" si="76"/>
        <v>-1282.0118400000028</v>
      </c>
      <c r="G313" s="8">
        <f t="shared" si="76"/>
        <v>-1384.5727872000025</v>
      </c>
      <c r="H313" s="8">
        <f t="shared" si="76"/>
        <v>-1495.3386101760007</v>
      </c>
      <c r="I313" s="8">
        <f t="shared" si="76"/>
        <v>-1614.9656989900832</v>
      </c>
      <c r="J313" s="8">
        <f t="shared" si="76"/>
        <v>-872.08147745464521</v>
      </c>
      <c r="K313" s="301">
        <v>24</v>
      </c>
      <c r="L313" s="76"/>
      <c r="M313" s="76"/>
      <c r="N313" s="76"/>
      <c r="O313" s="134"/>
      <c r="P313" s="134"/>
    </row>
    <row r="314" spans="1:16" x14ac:dyDescent="0.15">
      <c r="A314" s="299" t="s">
        <v>524</v>
      </c>
      <c r="B314" s="37"/>
      <c r="C314" s="8">
        <v>0</v>
      </c>
      <c r="D314" s="8">
        <v>0</v>
      </c>
      <c r="E314" s="8">
        <v>0</v>
      </c>
      <c r="F314" s="8">
        <v>0</v>
      </c>
      <c r="G314" s="8">
        <v>0</v>
      </c>
      <c r="H314" s="8">
        <v>0</v>
      </c>
      <c r="I314" s="8">
        <v>0</v>
      </c>
      <c r="J314" s="8">
        <v>0</v>
      </c>
      <c r="K314" s="301">
        <v>25</v>
      </c>
      <c r="L314" s="76"/>
      <c r="M314" s="76"/>
      <c r="N314" s="76"/>
      <c r="O314" s="76"/>
      <c r="P314" s="76"/>
    </row>
    <row r="315" spans="1:16" x14ac:dyDescent="0.15">
      <c r="A315" s="35" t="s">
        <v>525</v>
      </c>
      <c r="B315" s="37"/>
      <c r="C315" s="501">
        <f>SUM(C308:C314)</f>
        <v>-2606.4000000000015</v>
      </c>
      <c r="D315" s="501">
        <f t="shared" ref="D315:J315" si="77">SUM(D308:D314)</f>
        <v>-4198.7</v>
      </c>
      <c r="E315" s="100">
        <f>SUM(E308:E314)</f>
        <v>-4360.8866005901973</v>
      </c>
      <c r="F315" s="100">
        <f t="shared" si="77"/>
        <v>-4537.8194005901987</v>
      </c>
      <c r="G315" s="100">
        <f t="shared" si="77"/>
        <v>-4732.8767317901966</v>
      </c>
      <c r="H315" s="100">
        <f t="shared" si="77"/>
        <v>-4943.5386494861968</v>
      </c>
      <c r="I315" s="100">
        <f t="shared" si="77"/>
        <v>-5171.0535205978777</v>
      </c>
      <c r="J315" s="100">
        <f t="shared" si="77"/>
        <v>-2501.0509961221906</v>
      </c>
      <c r="K315" s="301">
        <v>26</v>
      </c>
      <c r="L315" s="76"/>
      <c r="M315" s="76"/>
      <c r="N315" s="76"/>
      <c r="O315" s="76"/>
      <c r="P315" s="76"/>
    </row>
    <row r="316" spans="1:16" x14ac:dyDescent="0.15">
      <c r="A316" s="299" t="s">
        <v>526</v>
      </c>
      <c r="B316" s="37"/>
      <c r="C316" s="8">
        <f t="shared" ref="C316:J316" si="78">C190+C193-B190-B193</f>
        <v>1078.7</v>
      </c>
      <c r="D316" s="8">
        <f t="shared" si="78"/>
        <v>-710.40000000000009</v>
      </c>
      <c r="E316" s="8">
        <f t="shared" si="78"/>
        <v>41.432999999999993</v>
      </c>
      <c r="F316" s="8">
        <f t="shared" si="78"/>
        <v>42.675989999999956</v>
      </c>
      <c r="G316" s="8">
        <f t="shared" si="78"/>
        <v>43.956269700000121</v>
      </c>
      <c r="H316" s="8">
        <f t="shared" si="78"/>
        <v>45.274957791000134</v>
      </c>
      <c r="I316" s="8">
        <f t="shared" si="78"/>
        <v>46.633206524729985</v>
      </c>
      <c r="J316" s="8">
        <f t="shared" si="78"/>
        <v>64.042936960629277</v>
      </c>
      <c r="K316" s="301">
        <v>27</v>
      </c>
      <c r="L316" s="76"/>
      <c r="M316" s="76"/>
      <c r="N316" s="76"/>
      <c r="O316" s="134"/>
      <c r="P316" s="134"/>
    </row>
    <row r="317" spans="1:16" x14ac:dyDescent="0.15">
      <c r="A317" s="299" t="s">
        <v>527</v>
      </c>
      <c r="B317" s="37"/>
      <c r="C317" s="8">
        <f t="shared" ref="C317:J317" si="79">C211-B211</f>
        <v>1729.1</v>
      </c>
      <c r="D317" s="8">
        <f t="shared" si="79"/>
        <v>440.40000000000055</v>
      </c>
      <c r="E317" s="8">
        <f t="shared" si="79"/>
        <v>155.61300000000028</v>
      </c>
      <c r="F317" s="8">
        <f t="shared" si="79"/>
        <v>160.2813900000001</v>
      </c>
      <c r="G317" s="8">
        <f t="shared" si="79"/>
        <v>165.0898317000001</v>
      </c>
      <c r="H317" s="8">
        <f t="shared" si="79"/>
        <v>170.04252665100012</v>
      </c>
      <c r="I317" s="8">
        <f t="shared" si="79"/>
        <v>175.14380245053053</v>
      </c>
      <c r="J317" s="8">
        <f t="shared" si="79"/>
        <v>240.53082203206122</v>
      </c>
      <c r="K317" s="301">
        <v>28</v>
      </c>
      <c r="L317" s="76"/>
      <c r="M317" s="76"/>
      <c r="N317" s="76"/>
      <c r="O317" s="76"/>
      <c r="P317" s="76"/>
    </row>
    <row r="318" spans="1:16" x14ac:dyDescent="0.15">
      <c r="A318" s="299" t="s">
        <v>528</v>
      </c>
      <c r="B318" s="37"/>
      <c r="C318" s="8">
        <f>(C196-B196)+(C214-B214)</f>
        <v>233.50000000000006</v>
      </c>
      <c r="D318" s="8">
        <f>(D196-C196)+(D214-C214)</f>
        <v>72.599999999999966</v>
      </c>
      <c r="E318" s="8">
        <f t="shared" ref="E318:J318" si="80">(E196-D196)+(E214-D214)</f>
        <v>678.11551642075233</v>
      </c>
      <c r="F318" s="8">
        <f t="shared" si="80"/>
        <v>678.11551642075221</v>
      </c>
      <c r="G318" s="8">
        <f t="shared" si="80"/>
        <v>678.11551642075199</v>
      </c>
      <c r="H318" s="8">
        <f t="shared" si="80"/>
        <v>678.11551642075244</v>
      </c>
      <c r="I318" s="8">
        <f t="shared" si="80"/>
        <v>678.11551642075187</v>
      </c>
      <c r="J318" s="8">
        <f t="shared" si="80"/>
        <v>212.68710328415045</v>
      </c>
      <c r="K318" s="301">
        <v>29</v>
      </c>
      <c r="L318" s="76"/>
      <c r="M318" s="76"/>
      <c r="N318" s="76"/>
      <c r="O318" s="76"/>
      <c r="P318" s="76"/>
    </row>
    <row r="319" spans="1:16" x14ac:dyDescent="0.15">
      <c r="A319" s="299" t="s">
        <v>529</v>
      </c>
      <c r="B319" s="37"/>
      <c r="C319" s="8">
        <f>(C199-B199)+(C217-B217)</f>
        <v>-123.19999999999993</v>
      </c>
      <c r="D319" s="8">
        <f>(D199-C199)+(D217-C217)</f>
        <v>230.79999999999995</v>
      </c>
      <c r="E319" s="8">
        <f t="shared" ref="E319:J319" si="81">(E199-D199)+(E217-D217)</f>
        <v>647.21208948119954</v>
      </c>
      <c r="F319" s="8">
        <f t="shared" si="81"/>
        <v>647.21208948119954</v>
      </c>
      <c r="G319" s="8">
        <f t="shared" si="81"/>
        <v>647.21208948119943</v>
      </c>
      <c r="H319" s="8">
        <f t="shared" si="81"/>
        <v>647.21208948119965</v>
      </c>
      <c r="I319" s="8">
        <f t="shared" si="81"/>
        <v>647.21208948119897</v>
      </c>
      <c r="J319" s="8">
        <f t="shared" si="81"/>
        <v>202.99441789624007</v>
      </c>
      <c r="K319" s="301">
        <v>30</v>
      </c>
      <c r="L319" s="76"/>
      <c r="M319" s="76"/>
      <c r="N319" s="76"/>
      <c r="O319" s="131"/>
      <c r="P319" s="131"/>
    </row>
    <row r="320" spans="1:16" x14ac:dyDescent="0.15">
      <c r="A320" s="299" t="s">
        <v>530</v>
      </c>
      <c r="B320" s="37"/>
      <c r="C320" s="8">
        <f t="shared" ref="C320:J320" si="82">C235-B235</f>
        <v>1.4000000000000909</v>
      </c>
      <c r="D320" s="8">
        <f t="shared" si="82"/>
        <v>74.100000000000364</v>
      </c>
      <c r="E320" s="8">
        <f t="shared" si="82"/>
        <v>71.023999999999887</v>
      </c>
      <c r="F320" s="8">
        <f t="shared" si="82"/>
        <v>72.444480000000112</v>
      </c>
      <c r="G320" s="8">
        <f t="shared" si="82"/>
        <v>73.893369599999914</v>
      </c>
      <c r="H320" s="8">
        <f t="shared" si="82"/>
        <v>75.371236991999922</v>
      </c>
      <c r="I320" s="8">
        <f t="shared" si="82"/>
        <v>76.878661731840111</v>
      </c>
      <c r="J320" s="8">
        <f t="shared" si="82"/>
        <v>156.8324699329537</v>
      </c>
      <c r="K320" s="301">
        <v>31</v>
      </c>
      <c r="L320" s="76"/>
      <c r="M320" s="76"/>
      <c r="N320" s="76"/>
      <c r="O320" s="134"/>
      <c r="P320" s="134"/>
    </row>
    <row r="321" spans="1:16" x14ac:dyDescent="0.15">
      <c r="A321" s="299" t="s">
        <v>531</v>
      </c>
      <c r="B321" s="37"/>
      <c r="C321" s="8">
        <f t="shared" ref="C321:J321" si="83">C241-B241</f>
        <v>-706.39999999999964</v>
      </c>
      <c r="D321" s="8">
        <f t="shared" si="83"/>
        <v>1414.4000000000005</v>
      </c>
      <c r="E321" s="8">
        <f t="shared" si="83"/>
        <v>0</v>
      </c>
      <c r="F321" s="8">
        <f t="shared" si="83"/>
        <v>0</v>
      </c>
      <c r="G321" s="8">
        <f t="shared" si="83"/>
        <v>0</v>
      </c>
      <c r="H321" s="8">
        <f t="shared" si="83"/>
        <v>0</v>
      </c>
      <c r="I321" s="8">
        <f t="shared" si="83"/>
        <v>0</v>
      </c>
      <c r="J321" s="8">
        <f t="shared" si="83"/>
        <v>0</v>
      </c>
      <c r="K321" s="301">
        <v>32</v>
      </c>
      <c r="L321" s="115"/>
      <c r="M321" s="115"/>
      <c r="N321" s="115"/>
      <c r="O321" s="134"/>
      <c r="P321" s="134"/>
    </row>
    <row r="322" spans="1:16" x14ac:dyDescent="0.15">
      <c r="A322" s="299" t="s">
        <v>532</v>
      </c>
      <c r="B322" s="37"/>
      <c r="C322" s="8">
        <f t="shared" ref="C322:J322" si="84">C244-B244</f>
        <v>2123.5</v>
      </c>
      <c r="D322" s="8">
        <f t="shared" si="84"/>
        <v>2345.6999999999989</v>
      </c>
      <c r="E322" s="8">
        <f t="shared" si="84"/>
        <v>1614.4799999999996</v>
      </c>
      <c r="F322" s="8">
        <f t="shared" si="84"/>
        <v>1775.9279999999999</v>
      </c>
      <c r="G322" s="8">
        <f t="shared" si="84"/>
        <v>1953.5208000000021</v>
      </c>
      <c r="H322" s="8">
        <f t="shared" si="84"/>
        <v>2148.8728800000026</v>
      </c>
      <c r="I322" s="8">
        <f t="shared" si="84"/>
        <v>2363.7601680000007</v>
      </c>
      <c r="J322" s="8">
        <f t="shared" si="84"/>
        <v>-26001.361848000004</v>
      </c>
      <c r="K322" s="301">
        <v>33</v>
      </c>
      <c r="L322" s="301"/>
      <c r="M322" s="143"/>
      <c r="N322" s="143"/>
      <c r="O322" s="134"/>
      <c r="P322" s="134"/>
    </row>
    <row r="323" spans="1:16" x14ac:dyDescent="0.15">
      <c r="A323" s="299" t="s">
        <v>408</v>
      </c>
      <c r="B323" s="37"/>
      <c r="C323" s="8">
        <f>C238-B238-C102</f>
        <v>-5719.5999999999976</v>
      </c>
      <c r="D323" s="8">
        <f>D238-C238-D102</f>
        <v>-6199.3000000000011</v>
      </c>
      <c r="E323" s="8">
        <f t="shared" ref="E323:J323" ca="1" si="85">E238-D238-E102</f>
        <v>-5154.8551976952413</v>
      </c>
      <c r="F323" s="8">
        <f t="shared" ca="1" si="85"/>
        <v>-5782.1393848025346</v>
      </c>
      <c r="G323" s="8">
        <f t="shared" ca="1" si="85"/>
        <v>-6363.0020536095963</v>
      </c>
      <c r="H323" s="8">
        <f t="shared" ca="1" si="85"/>
        <v>-6986.8956191182197</v>
      </c>
      <c r="I323" s="8">
        <f t="shared" ca="1" si="85"/>
        <v>-7657.6077939228398</v>
      </c>
      <c r="J323" s="8">
        <f t="shared" ca="1" si="85"/>
        <v>18877.950942324976</v>
      </c>
      <c r="K323" s="301">
        <v>34</v>
      </c>
      <c r="L323" s="143"/>
      <c r="M323" s="143"/>
      <c r="N323" s="143"/>
      <c r="O323" s="76"/>
      <c r="P323" s="76"/>
    </row>
    <row r="324" spans="1:16" x14ac:dyDescent="0.15">
      <c r="A324" s="299" t="s">
        <v>533</v>
      </c>
      <c r="B324" s="37"/>
      <c r="C324" s="8">
        <f t="shared" ref="C324:J324" si="86">C250-B250+C99</f>
        <v>5.8</v>
      </c>
      <c r="D324" s="8">
        <f t="shared" si="86"/>
        <v>4.7</v>
      </c>
      <c r="E324" s="8">
        <f t="shared" si="86"/>
        <v>-0.22500000000000001</v>
      </c>
      <c r="F324" s="8">
        <f t="shared" si="86"/>
        <v>-0.22500000000000001</v>
      </c>
      <c r="G324" s="8">
        <f t="shared" si="86"/>
        <v>-0.22500000000000001</v>
      </c>
      <c r="H324" s="8">
        <f t="shared" si="86"/>
        <v>-0.22500000000000001</v>
      </c>
      <c r="I324" s="8">
        <f t="shared" si="86"/>
        <v>-0.22500000000000001</v>
      </c>
      <c r="J324" s="8">
        <f t="shared" si="86"/>
        <v>-5.4000000000000298E-2</v>
      </c>
      <c r="K324" s="301">
        <v>35</v>
      </c>
      <c r="L324" s="76"/>
      <c r="M324" s="76"/>
      <c r="N324" s="76"/>
      <c r="O324" s="76"/>
      <c r="P324" s="76"/>
    </row>
    <row r="325" spans="1:16" x14ac:dyDescent="0.15">
      <c r="A325" s="35" t="s">
        <v>534</v>
      </c>
      <c r="B325" s="37"/>
      <c r="C325" s="100">
        <f>SUM(C316:C324)</f>
        <v>-1377.1999999999973</v>
      </c>
      <c r="D325" s="100">
        <f t="shared" ref="D325:J325" si="87">SUM(D316:D324)</f>
        <v>-2327.0000000000009</v>
      </c>
      <c r="E325" s="100">
        <f t="shared" ca="1" si="87"/>
        <v>-1947.2025917932897</v>
      </c>
      <c r="F325" s="100">
        <f t="shared" ca="1" si="87"/>
        <v>-2405.7069189005829</v>
      </c>
      <c r="G325" s="100">
        <f t="shared" ca="1" si="87"/>
        <v>-2801.4391767076427</v>
      </c>
      <c r="H325" s="100">
        <f t="shared" ca="1" si="87"/>
        <v>-3222.2314117822648</v>
      </c>
      <c r="I325" s="100">
        <f t="shared" ca="1" si="87"/>
        <v>-3670.0893493137878</v>
      </c>
      <c r="J325" s="100">
        <f t="shared" ca="1" si="87"/>
        <v>-6246.3771555689927</v>
      </c>
      <c r="K325" s="301">
        <v>36</v>
      </c>
      <c r="L325" s="76"/>
      <c r="M325" s="76"/>
      <c r="N325" s="76"/>
      <c r="O325" s="134"/>
      <c r="P325" s="134"/>
    </row>
    <row r="326" spans="1:16" ht="14" thickBot="1" x14ac:dyDescent="0.2">
      <c r="A326" s="35" t="s">
        <v>166</v>
      </c>
      <c r="B326" s="37"/>
      <c r="C326" s="108">
        <f>C307+C315+C325</f>
        <v>3393.9999999999991</v>
      </c>
      <c r="D326" s="108">
        <f>D307+D315+D325</f>
        <v>1718.4999999999982</v>
      </c>
      <c r="E326" s="108">
        <f t="shared" ref="E326:J326" ca="1" si="88">E307+E315+E325</f>
        <v>15353.222080000001</v>
      </c>
      <c r="F326" s="108">
        <f t="shared" ca="1" si="88"/>
        <v>16581.479846400016</v>
      </c>
      <c r="G326" s="108">
        <f t="shared" ca="1" si="88"/>
        <v>17907.998234111994</v>
      </c>
      <c r="H326" s="108">
        <f t="shared" ca="1" si="88"/>
        <v>19340.638092840989</v>
      </c>
      <c r="I326" s="108">
        <f t="shared" ca="1" si="88"/>
        <v>20887.88914026822</v>
      </c>
      <c r="J326" s="108">
        <f t="shared" ca="1" si="88"/>
        <v>21507.936329374676</v>
      </c>
      <c r="K326" s="301">
        <v>37</v>
      </c>
      <c r="L326" s="76"/>
      <c r="M326" s="76"/>
      <c r="N326" s="76"/>
      <c r="O326" s="134"/>
      <c r="P326" s="134"/>
    </row>
    <row r="327" spans="1:16" ht="14" thickTop="1" x14ac:dyDescent="0.15">
      <c r="A327" s="125" t="s">
        <v>535</v>
      </c>
      <c r="B327" s="301"/>
      <c r="C327" s="447"/>
      <c r="D327" s="447"/>
      <c r="E327" s="115"/>
      <c r="F327" s="115"/>
      <c r="G327" s="115"/>
      <c r="H327" s="115"/>
      <c r="I327" s="115"/>
      <c r="J327" s="115"/>
      <c r="K327" s="76"/>
      <c r="L327" s="76"/>
      <c r="M327" s="76"/>
      <c r="N327" s="76"/>
      <c r="O327" s="76"/>
      <c r="P327" s="76"/>
    </row>
    <row r="328" spans="1:16" x14ac:dyDescent="0.15">
      <c r="A328" s="125" t="s">
        <v>536</v>
      </c>
      <c r="B328" s="126"/>
      <c r="C328" s="143">
        <f>C326-(C127-B127)</f>
        <v>1723.5999999999985</v>
      </c>
      <c r="D328" s="143">
        <f t="shared" ref="D328:I328" si="89">D326-(D127-C127)</f>
        <v>1954.2999999999984</v>
      </c>
      <c r="E328" s="143">
        <f t="shared" ca="1" si="89"/>
        <v>15029.038080000002</v>
      </c>
      <c r="F328" s="143">
        <f t="shared" ca="1" si="89"/>
        <v>16231.361126400016</v>
      </c>
      <c r="G328" s="143">
        <f t="shared" ca="1" si="89"/>
        <v>17529.870016511995</v>
      </c>
      <c r="H328" s="143">
        <f t="shared" ca="1" si="89"/>
        <v>18932.259617832988</v>
      </c>
      <c r="I328" s="143">
        <f t="shared" ca="1" si="89"/>
        <v>20446.840387259581</v>
      </c>
      <c r="J328" s="143">
        <f ca="1">J326-(J127-I127)</f>
        <v>21269.77000275001</v>
      </c>
      <c r="K328" s="76"/>
      <c r="L328" s="447" t="s">
        <v>537</v>
      </c>
      <c r="M328" s="76"/>
      <c r="N328" s="76"/>
      <c r="O328" s="76"/>
      <c r="P328" s="76"/>
    </row>
    <row r="329" spans="1:16" x14ac:dyDescent="0.15">
      <c r="A329" s="125"/>
      <c r="B329" s="76"/>
      <c r="C329" s="76"/>
      <c r="D329" s="76"/>
      <c r="E329" s="76"/>
      <c r="F329" s="76"/>
      <c r="G329" s="76"/>
      <c r="H329" s="76"/>
      <c r="I329" s="76"/>
      <c r="J329" s="76"/>
      <c r="K329" s="76"/>
      <c r="L329" s="76"/>
      <c r="M329" s="76"/>
      <c r="N329" s="76"/>
      <c r="O329" s="134"/>
      <c r="P329" s="134"/>
    </row>
    <row r="330" spans="1:16" x14ac:dyDescent="0.15">
      <c r="A330" s="299"/>
      <c r="B330" s="76"/>
      <c r="C330" s="76"/>
      <c r="D330" s="76"/>
      <c r="E330" s="76"/>
      <c r="F330" s="76"/>
      <c r="G330" s="76"/>
      <c r="H330" s="76"/>
      <c r="I330" s="76"/>
      <c r="J330" s="76"/>
      <c r="K330" s="94"/>
      <c r="L330" s="94"/>
      <c r="M330" s="94"/>
      <c r="N330" s="94"/>
      <c r="O330" s="76"/>
      <c r="P330" s="76"/>
    </row>
    <row r="331" spans="1:16" x14ac:dyDescent="0.15">
      <c r="A331" s="81" t="s">
        <v>414</v>
      </c>
      <c r="B331" s="82" t="s">
        <v>415</v>
      </c>
      <c r="C331" s="429"/>
      <c r="D331" s="429"/>
      <c r="E331" s="82"/>
      <c r="F331" s="429"/>
      <c r="G331" s="429"/>
      <c r="H331" s="429"/>
      <c r="I331" s="429"/>
      <c r="J331" s="430"/>
      <c r="K331" s="301"/>
      <c r="L331" s="301"/>
      <c r="M331" s="301"/>
      <c r="N331" s="301"/>
      <c r="O331" s="131"/>
      <c r="P331" s="131"/>
    </row>
    <row r="332" spans="1:16" x14ac:dyDescent="0.15">
      <c r="A332" s="83" t="str">
        <f>Data!A9</f>
        <v>Analyst Name:</v>
      </c>
      <c r="B332" s="140" t="str">
        <f>Data!B9</f>
        <v>Durdona Karimova &amp; Vincenzo Giordano</v>
      </c>
      <c r="C332" s="429"/>
      <c r="D332" s="429"/>
      <c r="E332" s="82"/>
      <c r="F332" s="429"/>
      <c r="G332" s="429"/>
      <c r="H332" s="429"/>
      <c r="I332" s="429"/>
      <c r="J332" s="430"/>
      <c r="K332" s="301"/>
      <c r="L332" s="301"/>
      <c r="M332" s="301"/>
      <c r="N332" s="301"/>
      <c r="O332" s="134"/>
      <c r="P332" s="134"/>
    </row>
    <row r="333" spans="1:16" x14ac:dyDescent="0.15">
      <c r="A333" s="83" t="str">
        <f>Data!A10</f>
        <v>Company Name:</v>
      </c>
      <c r="B333" s="141" t="str">
        <f>Data!B10</f>
        <v>L'Oreal</v>
      </c>
      <c r="C333" s="427"/>
      <c r="D333" s="427"/>
      <c r="E333" s="142"/>
      <c r="F333" s="427"/>
      <c r="G333" s="427"/>
      <c r="H333" s="427"/>
      <c r="I333" s="427"/>
      <c r="J333" s="445"/>
      <c r="K333" s="131"/>
      <c r="L333" s="131"/>
      <c r="M333" s="131"/>
      <c r="N333" s="131"/>
      <c r="O333" s="134"/>
      <c r="P333" s="134"/>
    </row>
    <row r="334" spans="1:16" ht="14" thickBot="1" x14ac:dyDescent="0.2">
      <c r="A334" s="299"/>
      <c r="B334" s="454"/>
      <c r="C334" s="454"/>
      <c r="D334" s="454"/>
      <c r="E334" s="455"/>
      <c r="F334" s="455"/>
      <c r="G334" s="455"/>
      <c r="H334" s="455"/>
      <c r="I334" s="455"/>
      <c r="J334" s="455"/>
      <c r="K334" s="131"/>
      <c r="L334" s="131"/>
      <c r="M334" s="131"/>
      <c r="N334" s="131"/>
      <c r="O334" s="134"/>
      <c r="P334" s="134"/>
    </row>
    <row r="335" spans="1:16" ht="14" thickTop="1" x14ac:dyDescent="0.15">
      <c r="A335" s="299"/>
      <c r="B335" s="92" t="s">
        <v>428</v>
      </c>
      <c r="C335" s="436"/>
      <c r="D335" s="436"/>
      <c r="E335" s="93" t="s">
        <v>429</v>
      </c>
      <c r="F335" s="446"/>
      <c r="G335" s="446"/>
      <c r="H335" s="446"/>
      <c r="I335" s="446"/>
      <c r="J335" s="113"/>
      <c r="K335" s="131"/>
      <c r="L335" s="37" t="s">
        <v>538</v>
      </c>
      <c r="M335" s="131"/>
      <c r="N335" s="131"/>
      <c r="O335" s="76"/>
      <c r="P335" s="76"/>
    </row>
    <row r="336" spans="1:16" x14ac:dyDescent="0.15">
      <c r="A336" s="299"/>
      <c r="B336" s="94">
        <f>Data!E11</f>
        <v>2022</v>
      </c>
      <c r="C336" s="94">
        <f>Data!F11</f>
        <v>2023</v>
      </c>
      <c r="D336" s="94">
        <f>Data!G11</f>
        <v>2024</v>
      </c>
      <c r="E336" s="94" t="str">
        <f t="shared" ref="E336:J336" si="90">E$19</f>
        <v>Year +1</v>
      </c>
      <c r="F336" s="94" t="str">
        <f t="shared" si="90"/>
        <v>Year +2</v>
      </c>
      <c r="G336" s="94" t="str">
        <f t="shared" si="90"/>
        <v>Year +3</v>
      </c>
      <c r="H336" s="94" t="str">
        <f t="shared" si="90"/>
        <v>Year +4</v>
      </c>
      <c r="I336" s="94" t="str">
        <f t="shared" si="90"/>
        <v>Year +5</v>
      </c>
      <c r="J336" s="94" t="str">
        <f t="shared" si="90"/>
        <v>Year +6</v>
      </c>
      <c r="K336" s="76"/>
      <c r="L336" s="301" t="s">
        <v>539</v>
      </c>
      <c r="M336" s="76"/>
      <c r="N336" s="76"/>
      <c r="O336" s="76"/>
      <c r="P336" s="76"/>
    </row>
    <row r="337" spans="1:16" x14ac:dyDescent="0.15">
      <c r="A337" s="144" t="s">
        <v>540</v>
      </c>
      <c r="B337" s="301"/>
      <c r="C337" s="301"/>
      <c r="D337" s="301"/>
      <c r="E337" s="301"/>
      <c r="F337" s="301"/>
      <c r="G337" s="301"/>
      <c r="H337" s="301"/>
      <c r="I337" s="301"/>
      <c r="J337" s="301"/>
      <c r="K337" s="37"/>
      <c r="L337" s="37"/>
      <c r="M337" s="37"/>
      <c r="N337" s="37"/>
      <c r="O337" s="134"/>
      <c r="P337" s="134"/>
    </row>
    <row r="338" spans="1:16" x14ac:dyDescent="0.15">
      <c r="A338" s="70" t="s">
        <v>344</v>
      </c>
      <c r="B338" s="301"/>
      <c r="C338" s="301"/>
      <c r="D338" s="301"/>
      <c r="E338" s="301"/>
      <c r="F338" s="301"/>
      <c r="G338" s="301"/>
      <c r="H338" s="301"/>
      <c r="I338" s="301"/>
      <c r="J338" s="301"/>
      <c r="K338" s="131"/>
      <c r="L338" s="131"/>
      <c r="M338" s="131"/>
      <c r="N338" s="131"/>
      <c r="O338" s="134"/>
      <c r="P338" s="134"/>
    </row>
    <row r="339" spans="1:16" x14ac:dyDescent="0.15">
      <c r="A339" s="399" t="s">
        <v>541</v>
      </c>
      <c r="B339" s="145">
        <f>Analysis!D158</f>
        <v>0.18499361984167306</v>
      </c>
      <c r="C339" s="145">
        <f>Analysis!E158</f>
        <v>7.63683789590337E-2</v>
      </c>
      <c r="D339" s="145">
        <f>Analysis!F158</f>
        <v>5.595337825532698E-2</v>
      </c>
      <c r="E339" s="146">
        <f t="shared" ref="E339:J339" si="91">E21/D21-1</f>
        <v>8.0000000000000071E-2</v>
      </c>
      <c r="F339" s="146">
        <f t="shared" si="91"/>
        <v>8.0000000000000071E-2</v>
      </c>
      <c r="G339" s="146">
        <f t="shared" si="91"/>
        <v>8.0000000000000071E-2</v>
      </c>
      <c r="H339" s="146">
        <f t="shared" si="91"/>
        <v>8.0000000000000071E-2</v>
      </c>
      <c r="I339" s="146">
        <f t="shared" si="91"/>
        <v>8.0000000000000071E-2</v>
      </c>
      <c r="J339" s="146">
        <f t="shared" si="91"/>
        <v>4.0000000000000036E-2</v>
      </c>
      <c r="K339" s="134"/>
      <c r="L339" s="134"/>
      <c r="M339" s="134"/>
      <c r="N339" s="134"/>
      <c r="O339" s="76"/>
      <c r="P339" s="76"/>
    </row>
    <row r="340" spans="1:16" x14ac:dyDescent="0.15">
      <c r="A340" s="399" t="s">
        <v>542</v>
      </c>
      <c r="B340" s="145">
        <f>Analysis!D181</f>
        <v>0.24120417598159438</v>
      </c>
      <c r="C340" s="145">
        <f>Analysis!E181</f>
        <v>8.3656839086489576E-2</v>
      </c>
      <c r="D340" s="145">
        <f>Analysis!F181</f>
        <v>3.6630627723092335E-2</v>
      </c>
      <c r="E340" s="146">
        <f t="shared" ref="E340:J340" si="92">E96/D96-1</f>
        <v>-1.8205341403924269E-2</v>
      </c>
      <c r="F340" s="146">
        <f t="shared" si="92"/>
        <v>7.9438493826692991E-2</v>
      </c>
      <c r="G340" s="146">
        <f t="shared" si="92"/>
        <v>7.9557079869384761E-2</v>
      </c>
      <c r="H340" s="146">
        <f t="shared" si="92"/>
        <v>7.966141268240623E-2</v>
      </c>
      <c r="I340" s="146">
        <f t="shared" si="92"/>
        <v>7.9752914326921553E-2</v>
      </c>
      <c r="J340" s="146">
        <f t="shared" si="92"/>
        <v>4.0000000000001146E-2</v>
      </c>
      <c r="K340" s="131"/>
      <c r="L340" s="131"/>
      <c r="M340" s="131"/>
      <c r="N340" s="131"/>
      <c r="O340" s="76"/>
      <c r="P340" s="76"/>
    </row>
    <row r="341" spans="1:16" x14ac:dyDescent="0.15">
      <c r="A341" s="399" t="s">
        <v>543</v>
      </c>
      <c r="B341" s="145">
        <f>Analysis!D261</f>
        <v>8.9048787008729979E-2</v>
      </c>
      <c r="C341" s="145">
        <f>Analysis!E261</f>
        <v>0.10697680376058272</v>
      </c>
      <c r="D341" s="145">
        <f>Analysis!F261</f>
        <v>8.6749590203452076E-2</v>
      </c>
      <c r="E341" s="146">
        <f t="shared" ref="E341:J341" ca="1" si="93">E178/D178-1</f>
        <v>9.6515996357653844E-2</v>
      </c>
      <c r="F341" s="146">
        <f t="shared" ca="1" si="93"/>
        <v>9.0372319390362721E-2</v>
      </c>
      <c r="G341" s="146">
        <f t="shared" ca="1" si="93"/>
        <v>8.6060887744299208E-2</v>
      </c>
      <c r="H341" s="146">
        <f t="shared" ca="1" si="93"/>
        <v>8.2512156068512477E-2</v>
      </c>
      <c r="I341" s="146">
        <f t="shared" ca="1" si="93"/>
        <v>7.9587504877588477E-2</v>
      </c>
      <c r="J341" s="146">
        <f t="shared" ca="1" si="93"/>
        <v>4.0000000000000258E-2</v>
      </c>
      <c r="K341" s="131"/>
      <c r="L341" s="131"/>
      <c r="M341" s="131"/>
      <c r="N341" s="131"/>
      <c r="O341" s="134"/>
      <c r="P341" s="134"/>
    </row>
    <row r="342" spans="1:16" x14ac:dyDescent="0.15">
      <c r="A342" s="399"/>
      <c r="B342" s="301"/>
      <c r="C342" s="301"/>
      <c r="D342" s="301"/>
      <c r="E342" s="76"/>
      <c r="F342" s="76"/>
      <c r="G342" s="76"/>
      <c r="H342" s="76"/>
      <c r="I342" s="76"/>
      <c r="J342" s="76"/>
      <c r="K342" s="131"/>
      <c r="L342" s="131"/>
      <c r="M342" s="131"/>
      <c r="N342" s="131"/>
      <c r="O342" s="76"/>
      <c r="P342" s="76"/>
    </row>
    <row r="343" spans="1:16" x14ac:dyDescent="0.15">
      <c r="A343" s="147" t="s">
        <v>208</v>
      </c>
      <c r="B343" s="301"/>
      <c r="C343" s="301"/>
      <c r="D343" s="301"/>
      <c r="E343" s="37"/>
      <c r="F343" s="37"/>
      <c r="G343" s="37"/>
      <c r="H343" s="37"/>
      <c r="I343" s="37"/>
      <c r="J343" s="37"/>
      <c r="K343" s="131"/>
      <c r="L343" s="131"/>
      <c r="M343" s="131"/>
      <c r="N343" s="131"/>
      <c r="O343" s="131"/>
      <c r="P343" s="131"/>
    </row>
    <row r="344" spans="1:16" x14ac:dyDescent="0.15">
      <c r="A344" s="399" t="s">
        <v>210</v>
      </c>
      <c r="B344" s="145">
        <f>Analysis!D24</f>
        <v>0.14080019654683928</v>
      </c>
      <c r="C344" s="145">
        <f>Analysis!E24</f>
        <v>0.14678807746008615</v>
      </c>
      <c r="D344" s="145">
        <f>Analysis!F24</f>
        <v>0.14675947643882745</v>
      </c>
      <c r="E344" s="146">
        <f t="shared" ref="E344:J344" si="94">(E96+(1+(E84/E80))*(-E68-E71-E74))/E21</f>
        <v>0.13499999999999995</v>
      </c>
      <c r="F344" s="146">
        <f t="shared" si="94"/>
        <v>0.13500000000000001</v>
      </c>
      <c r="G344" s="146">
        <f t="shared" si="94"/>
        <v>0.13499999999999995</v>
      </c>
      <c r="H344" s="146">
        <f t="shared" si="94"/>
        <v>0.13500000000000004</v>
      </c>
      <c r="I344" s="146">
        <f t="shared" si="94"/>
        <v>0.1349999999999999</v>
      </c>
      <c r="J344" s="146">
        <f t="shared" si="94"/>
        <v>0.13500000000000004</v>
      </c>
      <c r="K344" s="131"/>
      <c r="L344" s="131"/>
      <c r="M344" s="131"/>
      <c r="N344" s="131"/>
      <c r="O344" s="134"/>
      <c r="P344" s="134"/>
    </row>
    <row r="345" spans="1:16" x14ac:dyDescent="0.15">
      <c r="A345" s="399" t="s">
        <v>212</v>
      </c>
      <c r="B345" s="148">
        <f>Analysis!D25</f>
        <v>0.85158579213931418</v>
      </c>
      <c r="C345" s="148">
        <f>Analysis!E25</f>
        <v>0.83450862624469613</v>
      </c>
      <c r="D345" s="148">
        <f>Analysis!F25</f>
        <v>0.80376015170726123</v>
      </c>
      <c r="E345" s="134">
        <f t="shared" ref="E345:J345" ca="1" si="95">E21/((E178+D178)/2)</f>
        <v>0.79504717377357459</v>
      </c>
      <c r="F345" s="134">
        <f t="shared" ca="1" si="95"/>
        <v>0.78537345149758875</v>
      </c>
      <c r="G345" s="134">
        <f t="shared" ca="1" si="95"/>
        <v>0.77951023084835824</v>
      </c>
      <c r="H345" s="134">
        <f t="shared" ca="1" si="95"/>
        <v>0.77648100584680124</v>
      </c>
      <c r="I345" s="134">
        <f t="shared" ca="1" si="95"/>
        <v>0.77576852637777804</v>
      </c>
      <c r="J345" s="134">
        <f t="shared" ca="1" si="95"/>
        <v>0.76182404813633431</v>
      </c>
      <c r="K345" s="131"/>
      <c r="L345" s="131"/>
      <c r="M345" s="131"/>
      <c r="N345" s="131"/>
      <c r="O345" s="134"/>
      <c r="P345" s="134"/>
    </row>
    <row r="346" spans="1:16" x14ac:dyDescent="0.15">
      <c r="A346" s="503" t="s">
        <v>214</v>
      </c>
      <c r="B346" s="504">
        <f>Analysis!D26</f>
        <v>0.11990344690971125</v>
      </c>
      <c r="C346" s="504">
        <f>Analysis!E26</f>
        <v>0.12249591687031652</v>
      </c>
      <c r="D346" s="504">
        <f>Analysis!F26</f>
        <v>0.11795941904695018</v>
      </c>
      <c r="E346" s="505">
        <f t="shared" ref="E346:J346" ca="1" si="96">(E96+(1+(E84/E80))*(-E68-E71-E74))/((E178+D178)/2)</f>
        <v>0.10733136845943253</v>
      </c>
      <c r="F346" s="505">
        <f t="shared" ca="1" si="96"/>
        <v>0.1060254159521745</v>
      </c>
      <c r="G346" s="505">
        <f t="shared" ca="1" si="96"/>
        <v>0.10523388116452834</v>
      </c>
      <c r="H346" s="505">
        <f t="shared" ca="1" si="96"/>
        <v>0.1048249357893182</v>
      </c>
      <c r="I346" s="505">
        <f t="shared" ca="1" si="96"/>
        <v>0.10472875106099995</v>
      </c>
      <c r="J346" s="505">
        <f t="shared" ca="1" si="96"/>
        <v>0.10284624649840517</v>
      </c>
      <c r="K346" s="37"/>
      <c r="L346" s="37"/>
      <c r="M346" s="37"/>
      <c r="N346" s="37"/>
      <c r="O346" s="134"/>
      <c r="P346" s="134"/>
    </row>
    <row r="347" spans="1:16" x14ac:dyDescent="0.15">
      <c r="A347" s="456"/>
      <c r="B347" s="145"/>
      <c r="C347" s="145"/>
      <c r="D347" s="145"/>
      <c r="E347" s="146"/>
      <c r="F347" s="146"/>
      <c r="G347" s="146"/>
      <c r="H347" s="146"/>
      <c r="I347" s="146"/>
      <c r="J347" s="146"/>
      <c r="K347" s="37"/>
      <c r="L347" s="499" t="s">
        <v>544</v>
      </c>
      <c r="M347" s="37"/>
      <c r="N347" s="37"/>
      <c r="O347" s="76"/>
      <c r="P347" s="76"/>
    </row>
    <row r="348" spans="1:16" x14ac:dyDescent="0.15">
      <c r="A348" s="147" t="s">
        <v>216</v>
      </c>
      <c r="B348" s="301"/>
      <c r="C348" s="301"/>
      <c r="D348" s="301"/>
      <c r="E348" s="37"/>
      <c r="F348" s="37"/>
      <c r="G348" s="37"/>
      <c r="H348" s="37"/>
      <c r="I348" s="37"/>
      <c r="J348" s="37"/>
      <c r="K348" s="131"/>
      <c r="L348" s="131"/>
      <c r="M348" s="131"/>
      <c r="N348" s="131"/>
      <c r="O348" s="76"/>
      <c r="P348" s="76"/>
    </row>
    <row r="349" spans="1:16" x14ac:dyDescent="0.15">
      <c r="A349" s="399" t="s">
        <v>210</v>
      </c>
      <c r="B349" s="145">
        <f>Analysis!D29</f>
        <v>0.1389392743448874</v>
      </c>
      <c r="C349" s="145">
        <f>Analysis!E29</f>
        <v>0.14284708310568803</v>
      </c>
      <c r="D349" s="145">
        <f>Analysis!F29</f>
        <v>0.14336994214336307</v>
      </c>
      <c r="E349" s="146">
        <f>(E80-E68-E71-E74-E58-E77)*(1+(E84/E80))/E21</f>
        <v>0.1349999999999999</v>
      </c>
      <c r="F349" s="146">
        <f>(F80-F68-F58-F77)*(1+(F84/F80))/F21</f>
        <v>0.13447001655088839</v>
      </c>
      <c r="G349" s="146">
        <f>(G80-G68-G58-G77)*(1+(G84/G80))/G21</f>
        <v>0.13439623309361254</v>
      </c>
      <c r="H349" s="146">
        <f>(H80-H68-H58-H77)*(1+(H84/H80))/H21</f>
        <v>0.13433628852136045</v>
      </c>
      <c r="I349" s="146">
        <f>(I80-I68-I58-I77)*(1+(I84/I80))/I21</f>
        <v>0.13428853747644529</v>
      </c>
      <c r="J349" s="146">
        <f>(J80-J68-J58-J77)*(1+(J84/J80))/J21</f>
        <v>0.13428853747644545</v>
      </c>
      <c r="K349" s="134"/>
      <c r="L349" s="134"/>
      <c r="M349" s="134"/>
      <c r="N349" s="134"/>
      <c r="O349" s="134"/>
      <c r="P349" s="134"/>
    </row>
    <row r="350" spans="1:16" x14ac:dyDescent="0.15">
      <c r="A350" s="399" t="s">
        <v>212</v>
      </c>
      <c r="B350" s="148">
        <f>Analysis!D30</f>
        <v>0.85158579213931418</v>
      </c>
      <c r="C350" s="148">
        <f>Analysis!E30</f>
        <v>0.83450862624469613</v>
      </c>
      <c r="D350" s="148">
        <f>Analysis!F30</f>
        <v>0.80376015170726123</v>
      </c>
      <c r="E350" s="134">
        <f t="shared" ref="E350:J350" ca="1" si="97">E21/((E178+D178)/2)</f>
        <v>0.79504717377357459</v>
      </c>
      <c r="F350" s="134">
        <f t="shared" ca="1" si="97"/>
        <v>0.78537345149758875</v>
      </c>
      <c r="G350" s="134">
        <f t="shared" ca="1" si="97"/>
        <v>0.77951023084835824</v>
      </c>
      <c r="H350" s="134">
        <f t="shared" ca="1" si="97"/>
        <v>0.77648100584680124</v>
      </c>
      <c r="I350" s="134">
        <f t="shared" ca="1" si="97"/>
        <v>0.77576852637777804</v>
      </c>
      <c r="J350" s="134">
        <f t="shared" ca="1" si="97"/>
        <v>0.76182404813633431</v>
      </c>
      <c r="K350" s="134"/>
      <c r="L350" s="134"/>
      <c r="M350" s="134"/>
      <c r="N350" s="134"/>
      <c r="O350" s="134"/>
      <c r="P350" s="134"/>
    </row>
    <row r="351" spans="1:16" x14ac:dyDescent="0.15">
      <c r="A351" s="456" t="s">
        <v>214</v>
      </c>
      <c r="B351" s="145">
        <f>Analysis!D31</f>
        <v>0.11831871200225243</v>
      </c>
      <c r="C351" s="145">
        <f>Analysis!E31</f>
        <v>0.11920712308558966</v>
      </c>
      <c r="D351" s="145">
        <f>Analysis!F31</f>
        <v>0.11523504644741077</v>
      </c>
      <c r="E351" s="146">
        <f ca="1">(E80-E68-E71-E74-E58-E77)*(1+(E84/E80))/((E178+D178)/2)</f>
        <v>0.10733136845943249</v>
      </c>
      <c r="F351" s="146">
        <f ca="1">(F80-F68-F58-F77)*(1+(F84/F80))/((F178+E178)/2)</f>
        <v>0.10560918102150911</v>
      </c>
      <c r="G351" s="146">
        <f ca="1">(G80-G68-G58-G77)*(1+(G84/G80))/((G178+F178)/2)</f>
        <v>0.10476323868395168</v>
      </c>
      <c r="H351" s="146">
        <f ca="1">(H80-H68-H58-H77)*(1+(H84/H80))/((H178+G178)/2)</f>
        <v>0.10430957643279207</v>
      </c>
      <c r="I351" s="146">
        <f ca="1">(I80-I68-I58-I77)*(1+(I84/I80))/((I178+H178)/2)</f>
        <v>0.10417682082752898</v>
      </c>
      <c r="J351" s="146">
        <f ca="1">(J80-J68-J58-J77)*(1+(J84/J80))/((J178+I178)/2)</f>
        <v>0.10230423723861351</v>
      </c>
      <c r="K351" s="131"/>
      <c r="L351" s="131"/>
      <c r="M351" s="131"/>
      <c r="N351" s="131"/>
      <c r="O351" s="76"/>
      <c r="P351" s="76"/>
    </row>
    <row r="352" spans="1:16" x14ac:dyDescent="0.15">
      <c r="A352" s="456"/>
      <c r="B352" s="301"/>
      <c r="C352" s="301"/>
      <c r="D352" s="301"/>
      <c r="E352" s="37"/>
      <c r="F352" s="37"/>
      <c r="G352" s="37"/>
      <c r="H352" s="37"/>
      <c r="I352" s="37"/>
      <c r="J352" s="37"/>
      <c r="K352" s="131"/>
      <c r="L352" s="131"/>
      <c r="M352" s="131"/>
      <c r="N352" s="131"/>
      <c r="O352" s="76"/>
      <c r="P352" s="76"/>
    </row>
    <row r="353" spans="1:16" x14ac:dyDescent="0.15">
      <c r="A353" s="147" t="s">
        <v>219</v>
      </c>
      <c r="B353" s="301"/>
      <c r="C353" s="301"/>
      <c r="D353" s="301"/>
      <c r="E353" s="37"/>
      <c r="F353" s="37"/>
      <c r="G353" s="37"/>
      <c r="H353" s="37"/>
      <c r="I353" s="37"/>
      <c r="J353" s="37"/>
      <c r="K353" s="131"/>
      <c r="L353" s="131"/>
      <c r="M353" s="131"/>
      <c r="N353" s="131"/>
      <c r="O353" s="134"/>
      <c r="P353" s="134"/>
    </row>
    <row r="354" spans="1:16" x14ac:dyDescent="0.15">
      <c r="A354" s="399" t="s">
        <v>221</v>
      </c>
      <c r="B354" s="145">
        <f>Analysis!D34</f>
        <v>0.14946446213598319</v>
      </c>
      <c r="C354" s="145">
        <f>Analysis!E34</f>
        <v>0.1504765373641716</v>
      </c>
      <c r="D354" s="145">
        <f>Analysis!F34</f>
        <v>0.14772298720531288</v>
      </c>
      <c r="E354" s="146">
        <f t="shared" ref="E354:J354" si="98">E102/E21</f>
        <v>0.13412883285489355</v>
      </c>
      <c r="F354" s="146">
        <f t="shared" si="98"/>
        <v>0.13405944989227581</v>
      </c>
      <c r="G354" s="146">
        <f t="shared" si="98"/>
        <v>0.13400479736893181</v>
      </c>
      <c r="H354" s="146">
        <f t="shared" si="98"/>
        <v>0.13396308891194769</v>
      </c>
      <c r="I354" s="146">
        <f t="shared" si="98"/>
        <v>0.13393272126652125</v>
      </c>
      <c r="J354" s="146">
        <f t="shared" si="98"/>
        <v>0.13393272126652139</v>
      </c>
      <c r="K354" s="131"/>
      <c r="L354" s="131"/>
      <c r="M354" s="131"/>
      <c r="N354" s="131"/>
      <c r="O354" s="76"/>
      <c r="P354" s="76"/>
    </row>
    <row r="355" spans="1:16" x14ac:dyDescent="0.15">
      <c r="A355" s="399" t="s">
        <v>212</v>
      </c>
      <c r="B355" s="134">
        <f>Analysis!D35</f>
        <v>0.85158579213931418</v>
      </c>
      <c r="C355" s="134">
        <f>Analysis!E35</f>
        <v>0.83450862624469613</v>
      </c>
      <c r="D355" s="134">
        <f>Analysis!F35</f>
        <v>0.80376015170726123</v>
      </c>
      <c r="E355" s="134">
        <f t="shared" ref="E355:J355" ca="1" si="99">E21/((E178+D178)/2)</f>
        <v>0.79504717377357459</v>
      </c>
      <c r="F355" s="134">
        <f t="shared" ca="1" si="99"/>
        <v>0.78537345149758875</v>
      </c>
      <c r="G355" s="134">
        <f t="shared" ca="1" si="99"/>
        <v>0.77951023084835824</v>
      </c>
      <c r="H355" s="134">
        <f t="shared" ca="1" si="99"/>
        <v>0.77648100584680124</v>
      </c>
      <c r="I355" s="134">
        <f t="shared" ca="1" si="99"/>
        <v>0.77576852637777804</v>
      </c>
      <c r="J355" s="134">
        <f t="shared" ca="1" si="99"/>
        <v>0.76182404813633431</v>
      </c>
      <c r="K355" s="131"/>
      <c r="L355" s="131"/>
      <c r="M355" s="131"/>
      <c r="N355" s="131"/>
      <c r="O355" s="131"/>
      <c r="P355" s="131"/>
    </row>
    <row r="356" spans="1:16" x14ac:dyDescent="0.15">
      <c r="A356" s="399" t="s">
        <v>223</v>
      </c>
      <c r="B356" s="134">
        <f>Analysis!D36</f>
        <v>1.5050364797234375</v>
      </c>
      <c r="C356" s="134">
        <f>Analysis!E36</f>
        <v>1.7545548762819336</v>
      </c>
      <c r="D356" s="134">
        <f>Analysis!F36</f>
        <v>1.7394695511970382</v>
      </c>
      <c r="E356" s="134">
        <f t="shared" ref="E356:J356" ca="1" si="100">((E178+D178)/2)/((E247+D247)/2)</f>
        <v>1.7098615240454398</v>
      </c>
      <c r="F356" s="134">
        <f t="shared" ca="1" si="100"/>
        <v>1.7270228394194487</v>
      </c>
      <c r="G356" s="134">
        <f t="shared" ca="1" si="100"/>
        <v>1.742428827252458</v>
      </c>
      <c r="H356" s="134">
        <f t="shared" ca="1" si="100"/>
        <v>1.7549635548714564</v>
      </c>
      <c r="I356" s="134">
        <f t="shared" ca="1" si="100"/>
        <v>1.7649073250718204</v>
      </c>
      <c r="J356" s="134">
        <f t="shared" ca="1" si="100"/>
        <v>1.769128435394564</v>
      </c>
      <c r="K356" s="131"/>
      <c r="L356" s="131"/>
      <c r="M356" s="131"/>
      <c r="N356" s="131"/>
      <c r="O356" s="134"/>
      <c r="P356" s="134"/>
    </row>
    <row r="357" spans="1:16" x14ac:dyDescent="0.15">
      <c r="A357" s="503" t="s">
        <v>225</v>
      </c>
      <c r="B357" s="504">
        <f>Analysis!D37</f>
        <v>0.19156377084435983</v>
      </c>
      <c r="C357" s="504">
        <f>Analysis!E37</f>
        <v>0.22032641872685665</v>
      </c>
      <c r="D357" s="504">
        <f>Analysis!F37</f>
        <v>0.20653391782689282</v>
      </c>
      <c r="E357" s="505">
        <f t="shared" ref="E357:J357" ca="1" si="101">E102/((E247+D247)/2)</f>
        <v>0.18233749471301378</v>
      </c>
      <c r="F357" s="505">
        <f t="shared" ca="1" si="101"/>
        <v>0.18183259235048402</v>
      </c>
      <c r="G357" s="505">
        <f t="shared" ca="1" si="101"/>
        <v>0.18201082303100771</v>
      </c>
      <c r="H357" s="505">
        <f t="shared" ca="1" si="101"/>
        <v>0.18255094749857298</v>
      </c>
      <c r="I357" s="505">
        <f t="shared" ca="1" si="101"/>
        <v>0.18337526501764295</v>
      </c>
      <c r="J357" s="505">
        <f t="shared" ca="1" si="101"/>
        <v>0.18050977867320647</v>
      </c>
      <c r="K357" s="131"/>
      <c r="L357" s="131"/>
      <c r="M357" s="131"/>
      <c r="N357" s="131"/>
      <c r="O357" s="134"/>
      <c r="P357" s="134"/>
    </row>
    <row r="358" spans="1:16" x14ac:dyDescent="0.15">
      <c r="A358" s="456"/>
      <c r="B358" s="145"/>
      <c r="C358" s="145"/>
      <c r="D358" s="145"/>
      <c r="E358" s="146"/>
      <c r="F358" s="146"/>
      <c r="G358" s="146"/>
      <c r="H358" s="146"/>
      <c r="I358" s="146"/>
      <c r="J358" s="146"/>
      <c r="K358" s="37"/>
      <c r="L358" s="37"/>
      <c r="M358" s="37"/>
      <c r="N358" s="37"/>
      <c r="O358" s="134"/>
      <c r="P358" s="134"/>
    </row>
    <row r="359" spans="1:16" x14ac:dyDescent="0.15">
      <c r="A359" s="147" t="s">
        <v>227</v>
      </c>
      <c r="B359" s="301"/>
      <c r="C359" s="301"/>
      <c r="D359" s="301"/>
      <c r="E359" s="37"/>
      <c r="F359" s="37"/>
      <c r="G359" s="37"/>
      <c r="H359" s="37"/>
      <c r="I359" s="37"/>
      <c r="J359" s="37"/>
      <c r="K359" s="37"/>
      <c r="L359" s="37"/>
      <c r="M359" s="37"/>
      <c r="N359" s="37"/>
      <c r="O359" s="76"/>
      <c r="P359" s="76"/>
    </row>
    <row r="360" spans="1:16" x14ac:dyDescent="0.15">
      <c r="A360" s="399" t="s">
        <v>221</v>
      </c>
      <c r="B360" s="145">
        <f>Analysis!D40</f>
        <v>0.14760353993403133</v>
      </c>
      <c r="C360" s="145">
        <f>Analysis!E40</f>
        <v>0.14653554300977351</v>
      </c>
      <c r="D360" s="145">
        <f>Analysis!F40</f>
        <v>0.14433345290984853</v>
      </c>
      <c r="E360" s="146">
        <f t="shared" ref="E360:J360" si="102">(E102-((1+(E84/E80))*(E58+E77))-E87-E90-E93)/E21</f>
        <v>0.13412883285489355</v>
      </c>
      <c r="F360" s="146">
        <f t="shared" si="102"/>
        <v>0.13405944989227581</v>
      </c>
      <c r="G360" s="146">
        <f t="shared" si="102"/>
        <v>0.13400479736893181</v>
      </c>
      <c r="H360" s="146">
        <f t="shared" si="102"/>
        <v>0.13396308891194769</v>
      </c>
      <c r="I360" s="146">
        <f t="shared" si="102"/>
        <v>0.13393272126652125</v>
      </c>
      <c r="J360" s="146">
        <f t="shared" si="102"/>
        <v>0.13393272126652139</v>
      </c>
      <c r="K360" s="131"/>
      <c r="L360" s="131"/>
      <c r="M360" s="131"/>
      <c r="N360" s="131"/>
      <c r="O360" s="76"/>
      <c r="P360" s="76"/>
    </row>
    <row r="361" spans="1:16" x14ac:dyDescent="0.15">
      <c r="A361" s="399" t="s">
        <v>212</v>
      </c>
      <c r="B361" s="134">
        <f>Analysis!D41</f>
        <v>0.85158579213931418</v>
      </c>
      <c r="C361" s="134">
        <f>Analysis!E41</f>
        <v>0.83450862624469613</v>
      </c>
      <c r="D361" s="134">
        <f>Analysis!F41</f>
        <v>0.80376015170726123</v>
      </c>
      <c r="E361" s="134">
        <f t="shared" ref="E361:J361" ca="1" si="103">E21/((E178+D178)/2)</f>
        <v>0.79504717377357459</v>
      </c>
      <c r="F361" s="134">
        <f t="shared" ca="1" si="103"/>
        <v>0.78537345149758875</v>
      </c>
      <c r="G361" s="134">
        <f t="shared" ca="1" si="103"/>
        <v>0.77951023084835824</v>
      </c>
      <c r="H361" s="134">
        <f t="shared" ca="1" si="103"/>
        <v>0.77648100584680124</v>
      </c>
      <c r="I361" s="134">
        <f t="shared" ca="1" si="103"/>
        <v>0.77576852637777804</v>
      </c>
      <c r="J361" s="134">
        <f t="shared" ca="1" si="103"/>
        <v>0.76182404813633431</v>
      </c>
      <c r="K361" s="131"/>
      <c r="L361" s="131"/>
      <c r="M361" s="131"/>
      <c r="N361" s="131"/>
      <c r="O361" s="134"/>
      <c r="P361" s="134"/>
    </row>
    <row r="362" spans="1:16" x14ac:dyDescent="0.15">
      <c r="A362" s="399" t="s">
        <v>223</v>
      </c>
      <c r="B362" s="134">
        <f>Analysis!D42</f>
        <v>1.5050364797234375</v>
      </c>
      <c r="C362" s="134">
        <f>Analysis!E42</f>
        <v>1.7545548762819336</v>
      </c>
      <c r="D362" s="134">
        <f>Analysis!F42</f>
        <v>1.7394695511970382</v>
      </c>
      <c r="E362" s="134">
        <f t="shared" ref="E362:J362" ca="1" si="104">((E178+D178)/2)/((E247+D247)/2)</f>
        <v>1.7098615240454398</v>
      </c>
      <c r="F362" s="134">
        <f t="shared" ca="1" si="104"/>
        <v>1.7270228394194487</v>
      </c>
      <c r="G362" s="134">
        <f t="shared" ca="1" si="104"/>
        <v>1.742428827252458</v>
      </c>
      <c r="H362" s="134">
        <f t="shared" ca="1" si="104"/>
        <v>1.7549635548714564</v>
      </c>
      <c r="I362" s="134">
        <f t="shared" ca="1" si="104"/>
        <v>1.7649073250718204</v>
      </c>
      <c r="J362" s="134">
        <f t="shared" ca="1" si="104"/>
        <v>1.769128435394564</v>
      </c>
      <c r="K362" s="76"/>
      <c r="L362" s="76"/>
      <c r="M362" s="76"/>
      <c r="N362" s="76"/>
      <c r="O362" s="134"/>
      <c r="P362" s="134"/>
    </row>
    <row r="363" spans="1:16" x14ac:dyDescent="0.15">
      <c r="A363" s="456" t="s">
        <v>225</v>
      </c>
      <c r="B363" s="145">
        <f>Analysis!D43</f>
        <v>0.18917868699794316</v>
      </c>
      <c r="C363" s="145">
        <f>Analysis!E43</f>
        <v>0.21455604955477839</v>
      </c>
      <c r="D363" s="145">
        <f>Analysis!F43</f>
        <v>0.2017949546438785</v>
      </c>
      <c r="E363" s="146">
        <f t="shared" ref="E363:J363" ca="1" si="105">(E102-((1+(E84/E80))*(E58+E77))-E87-E90-E93)/((E247+D247)/2)</f>
        <v>0.18233749471301378</v>
      </c>
      <c r="F363" s="146">
        <f t="shared" ca="1" si="105"/>
        <v>0.18183259235048402</v>
      </c>
      <c r="G363" s="146">
        <f t="shared" ca="1" si="105"/>
        <v>0.18201082303100771</v>
      </c>
      <c r="H363" s="146">
        <f t="shared" ca="1" si="105"/>
        <v>0.18255094749857298</v>
      </c>
      <c r="I363" s="146">
        <f t="shared" ca="1" si="105"/>
        <v>0.18337526501764295</v>
      </c>
      <c r="J363" s="146">
        <f t="shared" ca="1" si="105"/>
        <v>0.18050977867320647</v>
      </c>
      <c r="K363" s="131"/>
      <c r="L363" s="131"/>
      <c r="M363" s="131"/>
      <c r="N363" s="131"/>
      <c r="O363" s="76"/>
      <c r="P363" s="76"/>
    </row>
    <row r="364" spans="1:16" x14ac:dyDescent="0.15">
      <c r="A364" s="456"/>
      <c r="B364" s="301"/>
      <c r="C364" s="301"/>
      <c r="D364" s="301"/>
      <c r="E364" s="37"/>
      <c r="F364" s="37"/>
      <c r="G364" s="37"/>
      <c r="H364" s="37"/>
      <c r="I364" s="37"/>
      <c r="J364" s="37"/>
      <c r="K364" s="134"/>
      <c r="L364" s="134"/>
      <c r="M364" s="134"/>
      <c r="N364" s="134"/>
      <c r="O364" s="76"/>
      <c r="P364" s="76"/>
    </row>
    <row r="365" spans="1:16" x14ac:dyDescent="0.15">
      <c r="A365" s="70" t="s">
        <v>230</v>
      </c>
      <c r="B365" s="301"/>
      <c r="C365" s="301"/>
      <c r="D365" s="301"/>
      <c r="E365" s="37"/>
      <c r="F365" s="37"/>
      <c r="G365" s="37"/>
      <c r="H365" s="37"/>
      <c r="I365" s="37"/>
      <c r="J365" s="37"/>
      <c r="K365" s="134"/>
      <c r="L365" s="134"/>
      <c r="M365" s="134"/>
      <c r="N365" s="134"/>
      <c r="O365" s="134"/>
      <c r="P365" s="134"/>
    </row>
    <row r="366" spans="1:16" x14ac:dyDescent="0.15">
      <c r="A366" s="399" t="s">
        <v>231</v>
      </c>
      <c r="B366" s="145">
        <f>Analysis!D46</f>
        <v>0.72354327950946917</v>
      </c>
      <c r="C366" s="145">
        <f>Analysis!E46</f>
        <v>0.73855399745037331</v>
      </c>
      <c r="D366" s="145">
        <f>Analysis!F46</f>
        <v>0.7418297046460075</v>
      </c>
      <c r="E366" s="146">
        <f>E27/E21</f>
        <v>0.72999999999999987</v>
      </c>
      <c r="F366" s="146">
        <f t="shared" ref="F366:J366" si="106">F27/F21</f>
        <v>0.73</v>
      </c>
      <c r="G366" s="146">
        <f t="shared" si="106"/>
        <v>0.73</v>
      </c>
      <c r="H366" s="146">
        <f t="shared" si="106"/>
        <v>0.73000000000000009</v>
      </c>
      <c r="I366" s="146">
        <f t="shared" si="106"/>
        <v>0.73</v>
      </c>
      <c r="J366" s="146">
        <f t="shared" si="106"/>
        <v>0.73000000000000009</v>
      </c>
      <c r="K366" s="134"/>
      <c r="L366" s="134"/>
      <c r="M366" s="134"/>
      <c r="N366" s="134"/>
      <c r="O366" s="76"/>
      <c r="P366" s="76"/>
    </row>
    <row r="367" spans="1:16" x14ac:dyDescent="0.15">
      <c r="A367" s="399" t="s">
        <v>545</v>
      </c>
      <c r="B367" s="145">
        <f>Analysis!D47</f>
        <v>0.18858303319864297</v>
      </c>
      <c r="C367" s="145">
        <f>Analysis!E47</f>
        <v>0.18681235961877005</v>
      </c>
      <c r="D367" s="145">
        <f>Analysis!F47</f>
        <v>0.18970814132104455</v>
      </c>
      <c r="E367" s="146">
        <f t="shared" ref="E367:J367" si="107">E61/E21</f>
        <v>0.17999999999999988</v>
      </c>
      <c r="F367" s="146">
        <f t="shared" si="107"/>
        <v>0.18000000000000002</v>
      </c>
      <c r="G367" s="146">
        <f t="shared" si="107"/>
        <v>0.17999999999999997</v>
      </c>
      <c r="H367" s="146">
        <f t="shared" si="107"/>
        <v>0.18000000000000008</v>
      </c>
      <c r="I367" s="146">
        <f t="shared" si="107"/>
        <v>0.17999999999999988</v>
      </c>
      <c r="J367" s="146">
        <f t="shared" si="107"/>
        <v>0.18000000000000002</v>
      </c>
      <c r="K367" s="76"/>
      <c r="L367" s="76"/>
      <c r="M367" s="76"/>
      <c r="N367" s="76"/>
      <c r="O367" s="131"/>
      <c r="P367" s="131"/>
    </row>
    <row r="368" spans="1:16" x14ac:dyDescent="0.15">
      <c r="A368" s="399"/>
      <c r="B368" s="301"/>
      <c r="C368" s="301"/>
      <c r="D368" s="301"/>
      <c r="E368" s="76"/>
      <c r="F368" s="76"/>
      <c r="G368" s="76"/>
      <c r="H368" s="76"/>
      <c r="I368" s="76"/>
      <c r="J368" s="76"/>
      <c r="K368" s="76"/>
      <c r="L368" s="76"/>
      <c r="M368" s="76"/>
      <c r="N368" s="76"/>
      <c r="O368" s="134"/>
      <c r="P368" s="134"/>
    </row>
    <row r="369" spans="1:16" x14ac:dyDescent="0.15">
      <c r="A369" s="70" t="s">
        <v>280</v>
      </c>
      <c r="B369" s="301"/>
      <c r="C369" s="301"/>
      <c r="D369" s="301"/>
      <c r="E369" s="76"/>
      <c r="F369" s="76"/>
      <c r="G369" s="146"/>
      <c r="H369" s="146"/>
      <c r="I369" s="146"/>
      <c r="J369" s="146"/>
      <c r="K369" s="134"/>
      <c r="L369" s="134"/>
      <c r="M369" s="134"/>
      <c r="N369" s="134"/>
      <c r="O369" s="134"/>
      <c r="P369" s="134"/>
    </row>
    <row r="370" spans="1:16" x14ac:dyDescent="0.15">
      <c r="A370" s="399" t="s">
        <v>546</v>
      </c>
      <c r="B370" s="134">
        <f>Analysis!D83</f>
        <v>8.7188742665071501</v>
      </c>
      <c r="C370" s="134">
        <f>Analysis!E83</f>
        <v>8.3634572815336803</v>
      </c>
      <c r="D370" s="134">
        <f>Analysis!F83</f>
        <v>8.1325541166019928</v>
      </c>
      <c r="E370" s="134">
        <f t="shared" ref="E370:J370" si="108">E21/((E133+D133)/2)</f>
        <v>8.061581854184233</v>
      </c>
      <c r="F370" s="134">
        <f t="shared" si="108"/>
        <v>8.061581854184233</v>
      </c>
      <c r="G370" s="134">
        <f t="shared" si="108"/>
        <v>8.061581854184233</v>
      </c>
      <c r="H370" s="134">
        <f t="shared" si="108"/>
        <v>8.061581854184233</v>
      </c>
      <c r="I370" s="134">
        <f t="shared" si="108"/>
        <v>8.0615818541842348</v>
      </c>
      <c r="J370" s="134">
        <f t="shared" si="108"/>
        <v>7.9152205278555448</v>
      </c>
      <c r="K370" s="134"/>
      <c r="L370" s="134"/>
      <c r="M370" s="134"/>
      <c r="N370" s="134"/>
      <c r="O370" s="134"/>
      <c r="P370" s="134"/>
    </row>
    <row r="371" spans="1:16" x14ac:dyDescent="0.15">
      <c r="A371" s="399" t="s">
        <v>547</v>
      </c>
      <c r="B371" s="134">
        <f>Analysis!D85</f>
        <v>2.91955450668654</v>
      </c>
      <c r="C371" s="134">
        <f>Analysis!E85</f>
        <v>2.5152428341159156</v>
      </c>
      <c r="D371" s="134">
        <f>Analysis!F85</f>
        <v>2.4640877914951989</v>
      </c>
      <c r="E371" s="134">
        <f t="shared" ref="E371:J371" si="109">-E24/((E136+D136)/2)</f>
        <v>2.6334268573697535</v>
      </c>
      <c r="F371" s="134">
        <f t="shared" si="109"/>
        <v>2.633426857369753</v>
      </c>
      <c r="G371" s="134">
        <f t="shared" si="109"/>
        <v>2.633426857369753</v>
      </c>
      <c r="H371" s="134">
        <f t="shared" si="109"/>
        <v>2.633426857369753</v>
      </c>
      <c r="I371" s="134">
        <f t="shared" si="109"/>
        <v>2.6334268573697526</v>
      </c>
      <c r="J371" s="134">
        <f t="shared" si="109"/>
        <v>2.5856159122468449</v>
      </c>
      <c r="K371" s="76"/>
      <c r="L371" s="76"/>
      <c r="M371" s="76"/>
      <c r="N371" s="76"/>
      <c r="O371" s="76"/>
      <c r="P371" s="76"/>
    </row>
    <row r="372" spans="1:16" x14ac:dyDescent="0.15">
      <c r="A372" s="399" t="s">
        <v>548</v>
      </c>
      <c r="B372" s="134">
        <f>Analysis!D90</f>
        <v>11.340002074719543</v>
      </c>
      <c r="C372" s="134">
        <f>Analysis!E90</f>
        <v>11.207037309168095</v>
      </c>
      <c r="D372" s="134">
        <f>Analysis!F90</f>
        <v>10.777798431168446</v>
      </c>
      <c r="E372" s="134">
        <f t="shared" ref="E372:J372" si="110">E21/((E154+E157+D154+D157)/2)</f>
        <v>9.8830863331556369</v>
      </c>
      <c r="F372" s="134">
        <f t="shared" si="110"/>
        <v>8.7406736950940029</v>
      </c>
      <c r="G372" s="134">
        <f t="shared" si="110"/>
        <v>8.1091131826471425</v>
      </c>
      <c r="H372" s="134">
        <f t="shared" si="110"/>
        <v>7.7752000384263003</v>
      </c>
      <c r="I372" s="134">
        <f t="shared" si="110"/>
        <v>7.6390866302647238</v>
      </c>
      <c r="J372" s="134">
        <f t="shared" si="110"/>
        <v>7.4735293283826811</v>
      </c>
      <c r="K372" s="76"/>
      <c r="L372" s="76"/>
      <c r="M372" s="76"/>
      <c r="N372" s="76"/>
      <c r="O372" s="76"/>
      <c r="P372" s="76"/>
    </row>
    <row r="373" spans="1:16" x14ac:dyDescent="0.15">
      <c r="A373" s="399"/>
      <c r="B373" s="301"/>
      <c r="C373" s="301"/>
      <c r="D373" s="301"/>
      <c r="E373" s="37"/>
      <c r="F373" s="37"/>
      <c r="G373" s="76"/>
      <c r="H373" s="76"/>
      <c r="I373" s="76"/>
      <c r="J373" s="76"/>
      <c r="K373" s="134"/>
      <c r="L373" s="134"/>
      <c r="M373" s="134"/>
      <c r="N373" s="134"/>
      <c r="O373" s="134"/>
      <c r="P373" s="134"/>
    </row>
    <row r="374" spans="1:16" x14ac:dyDescent="0.15">
      <c r="A374" s="506" t="s">
        <v>273</v>
      </c>
      <c r="B374" s="507"/>
      <c r="C374" s="507"/>
      <c r="D374" s="507"/>
      <c r="E374" s="290"/>
      <c r="F374" s="290"/>
      <c r="G374" s="508"/>
      <c r="H374" s="508"/>
      <c r="I374" s="508"/>
      <c r="J374" s="508"/>
      <c r="K374" s="134"/>
      <c r="L374" s="134"/>
      <c r="M374" s="134"/>
      <c r="N374" s="134"/>
      <c r="O374" s="134"/>
      <c r="P374" s="134"/>
    </row>
    <row r="375" spans="1:16" x14ac:dyDescent="0.15">
      <c r="A375" s="509" t="s">
        <v>274</v>
      </c>
      <c r="B375" s="510">
        <f>Analysis!D78</f>
        <v>1.0240163850784998</v>
      </c>
      <c r="C375" s="510">
        <f>Analysis!E78</f>
        <v>1.09568649033202</v>
      </c>
      <c r="D375" s="510">
        <f>Analysis!F78</f>
        <v>1.1255534298988792</v>
      </c>
      <c r="E375" s="510">
        <f ca="1">E148/E208</f>
        <v>1.0854973877155258</v>
      </c>
      <c r="F375" s="510">
        <f t="shared" ref="F375:J375" ca="1" si="111">F148/F208</f>
        <v>1.063241276978341</v>
      </c>
      <c r="G375" s="510">
        <f ca="1">G148/G208</f>
        <v>1.0470228762208216</v>
      </c>
      <c r="H375" s="510">
        <f t="shared" ca="1" si="111"/>
        <v>1.0356613540110358</v>
      </c>
      <c r="I375" s="510">
        <f t="shared" ca="1" si="111"/>
        <v>1.0282690729872721</v>
      </c>
      <c r="J375" s="510">
        <f t="shared" ca="1" si="111"/>
        <v>1.0282690729872723</v>
      </c>
      <c r="K375" s="134"/>
      <c r="L375" s="134"/>
      <c r="M375" s="134"/>
      <c r="N375" s="134"/>
      <c r="O375" s="76"/>
      <c r="P375" s="76"/>
    </row>
    <row r="376" spans="1:16" x14ac:dyDescent="0.15">
      <c r="A376" s="509" t="s">
        <v>276</v>
      </c>
      <c r="B376" s="510">
        <f>Analysis!D79</f>
        <v>0.53741308182335012</v>
      </c>
      <c r="C376" s="510">
        <f>Analysis!E79</f>
        <v>0.62959656905843731</v>
      </c>
      <c r="D376" s="510">
        <f>Analysis!F79</f>
        <v>0.6596132823175731</v>
      </c>
      <c r="E376" s="510">
        <f t="shared" ref="E376:J376" ca="1" si="112">(E127+E130+E133)/E208</f>
        <v>0.63613905465377663</v>
      </c>
      <c r="F376" s="510">
        <f ca="1">(F127+F130+F133)/F208</f>
        <v>0.62309620314179059</v>
      </c>
      <c r="G376" s="510">
        <f t="shared" ca="1" si="112"/>
        <v>0.61359165873418275</v>
      </c>
      <c r="H376" s="510">
        <f t="shared" ca="1" si="112"/>
        <v>0.60693341332543826</v>
      </c>
      <c r="I376" s="510">
        <f t="shared" ca="1" si="112"/>
        <v>0.60260128068706431</v>
      </c>
      <c r="J376" s="510">
        <f t="shared" ca="1" si="112"/>
        <v>0.60260128068706442</v>
      </c>
      <c r="K376" s="301"/>
      <c r="L376" s="301"/>
      <c r="M376" s="301"/>
      <c r="N376" s="301"/>
      <c r="O376" s="76"/>
      <c r="P376" s="76"/>
    </row>
    <row r="377" spans="1:16" x14ac:dyDescent="0.15">
      <c r="A377" s="399"/>
      <c r="B377" s="301"/>
      <c r="C377" s="301"/>
      <c r="D377" s="301"/>
      <c r="E377" s="76"/>
      <c r="F377" s="76"/>
      <c r="G377" s="76"/>
      <c r="H377" s="76"/>
      <c r="I377" s="76"/>
      <c r="J377" s="76"/>
      <c r="K377" s="301"/>
      <c r="L377" s="301"/>
      <c r="M377" s="301"/>
      <c r="N377" s="301"/>
      <c r="O377" s="134"/>
      <c r="P377" s="134"/>
    </row>
    <row r="378" spans="1:16" x14ac:dyDescent="0.15">
      <c r="A378" s="506" t="s">
        <v>301</v>
      </c>
      <c r="B378" s="507"/>
      <c r="C378" s="507"/>
      <c r="D378" s="507"/>
      <c r="E378" s="508"/>
      <c r="F378" s="508"/>
      <c r="G378" s="508"/>
      <c r="H378" s="508"/>
      <c r="I378" s="508"/>
      <c r="J378" s="508"/>
      <c r="K378" s="301"/>
      <c r="L378" s="301"/>
      <c r="M378" s="301"/>
      <c r="N378" s="301"/>
      <c r="O378" s="76"/>
      <c r="P378" s="76"/>
    </row>
    <row r="379" spans="1:16" x14ac:dyDescent="0.15">
      <c r="A379" s="509" t="s">
        <v>302</v>
      </c>
      <c r="B379" s="504">
        <f>Analysis!D95</f>
        <v>0.41964358143446934</v>
      </c>
      <c r="C379" s="504">
        <f>Analysis!E95</f>
        <v>0.43918040690386662</v>
      </c>
      <c r="D379" s="504">
        <f>Analysis!F95</f>
        <v>0.41196449548740627</v>
      </c>
      <c r="E379" s="505">
        <f t="shared" ref="E379:J379" ca="1" si="113">E226/E178</f>
        <v>0.41792345690994409</v>
      </c>
      <c r="F379" s="505">
        <f t="shared" ca="1" si="113"/>
        <v>0.42362828038728023</v>
      </c>
      <c r="G379" s="505">
        <f t="shared" ca="1" si="113"/>
        <v>0.42823071209026087</v>
      </c>
      <c r="H379" s="505">
        <f t="shared" ca="1" si="113"/>
        <v>0.43188170538245857</v>
      </c>
      <c r="I379" s="505">
        <f t="shared" ca="1" si="113"/>
        <v>0.43469729330005191</v>
      </c>
      <c r="J379" s="505">
        <f t="shared" ca="1" si="113"/>
        <v>0.43469729330005175</v>
      </c>
      <c r="K379" s="301"/>
      <c r="L379" s="301"/>
      <c r="M379" s="301"/>
      <c r="N379" s="301"/>
      <c r="O379" s="131"/>
      <c r="P379" s="131"/>
    </row>
    <row r="380" spans="1:16" x14ac:dyDescent="0.15">
      <c r="A380" s="509" t="s">
        <v>304</v>
      </c>
      <c r="B380" s="505">
        <f>Analysis!D96</f>
        <v>0.72306843470104631</v>
      </c>
      <c r="C380" s="505">
        <f>Analysis!E96</f>
        <v>0.78309383564234558</v>
      </c>
      <c r="D380" s="505">
        <f>Analysis!F96</f>
        <v>0.70057758813198223</v>
      </c>
      <c r="E380" s="505">
        <f t="shared" ref="E380:J380" ca="1" si="114">E226/E247</f>
        <v>0.71807695303249497</v>
      </c>
      <c r="F380" s="505">
        <f t="shared" ca="1" si="114"/>
        <v>0.73507661937285174</v>
      </c>
      <c r="G380" s="505">
        <f t="shared" ca="1" si="114"/>
        <v>0.74903773976059163</v>
      </c>
      <c r="H380" s="505">
        <f t="shared" ca="1" si="114"/>
        <v>0.76027281582700246</v>
      </c>
      <c r="I380" s="505">
        <f t="shared" ca="1" si="114"/>
        <v>0.76903534236617277</v>
      </c>
      <c r="J380" s="505">
        <f t="shared" ca="1" si="114"/>
        <v>0.76903534236617244</v>
      </c>
      <c r="K380" s="301"/>
      <c r="L380" s="301"/>
      <c r="M380" s="301"/>
      <c r="N380" s="301"/>
      <c r="O380" s="134"/>
      <c r="P380" s="134"/>
    </row>
    <row r="381" spans="1:16" x14ac:dyDescent="0.15">
      <c r="A381" s="509" t="s">
        <v>549</v>
      </c>
      <c r="B381" s="510">
        <f>Analysis!D100</f>
        <v>109.10511363636361</v>
      </c>
      <c r="C381" s="510">
        <f>Analysis!E100</f>
        <v>36.292898103220111</v>
      </c>
      <c r="D381" s="510">
        <f>Analysis!F100</f>
        <v>23.584092126406002</v>
      </c>
      <c r="E381" s="510">
        <f>(E80-E68)/(-E68)</f>
        <v>315.9816097494836</v>
      </c>
      <c r="F381" s="510">
        <f t="shared" ref="F381:J381" si="115">(F80-F68)/(-F68)</f>
        <v>331.10026641853375</v>
      </c>
      <c r="G381" s="510">
        <f t="shared" si="115"/>
        <v>346.98260162999833</v>
      </c>
      <c r="H381" s="510">
        <f t="shared" si="115"/>
        <v>363.664140232406</v>
      </c>
      <c r="I381" s="510">
        <f t="shared" si="115"/>
        <v>381.1821964444735</v>
      </c>
      <c r="J381" s="510">
        <f t="shared" si="115"/>
        <v>381.18219644447385</v>
      </c>
      <c r="K381" s="301"/>
      <c r="L381" s="301"/>
      <c r="M381" s="301"/>
      <c r="N381" s="301"/>
      <c r="O381" s="134"/>
      <c r="P381" s="134"/>
    </row>
    <row r="382" spans="1:16" x14ac:dyDescent="0.15">
      <c r="A382" s="301"/>
      <c r="B382" s="301"/>
      <c r="C382" s="301"/>
      <c r="D382" s="301"/>
      <c r="E382" s="301"/>
      <c r="F382" s="301"/>
      <c r="G382" s="301"/>
      <c r="H382" s="301"/>
      <c r="I382" s="301"/>
      <c r="J382" s="301"/>
      <c r="K382" s="301"/>
      <c r="L382" s="301"/>
      <c r="M382" s="301"/>
      <c r="N382" s="301"/>
      <c r="O382" s="134"/>
      <c r="P382" s="134"/>
    </row>
    <row r="383" spans="1:16" x14ac:dyDescent="0.15">
      <c r="A383" s="301"/>
      <c r="B383" s="301"/>
      <c r="C383" s="301"/>
      <c r="D383" s="301"/>
      <c r="E383" s="301"/>
      <c r="F383" s="301"/>
      <c r="G383" s="301"/>
      <c r="H383" s="301"/>
      <c r="I383" s="301"/>
      <c r="J383" s="301"/>
      <c r="K383" s="301"/>
      <c r="L383" s="301"/>
      <c r="M383" s="301"/>
      <c r="N383" s="301"/>
      <c r="O383" s="76"/>
      <c r="P383" s="76"/>
    </row>
    <row r="384" spans="1:16" x14ac:dyDescent="0.15">
      <c r="A384" s="301"/>
      <c r="B384" s="301"/>
      <c r="C384" s="301"/>
      <c r="D384" s="301"/>
      <c r="E384" s="301"/>
      <c r="F384" s="301"/>
      <c r="G384" s="301"/>
      <c r="H384" s="301"/>
      <c r="I384" s="301"/>
      <c r="J384" s="301"/>
      <c r="K384" s="301"/>
      <c r="L384" s="301"/>
      <c r="M384" s="301"/>
      <c r="N384" s="301"/>
      <c r="O384" s="76"/>
      <c r="P384" s="76"/>
    </row>
    <row r="385" spans="15:16" x14ac:dyDescent="0.15">
      <c r="O385" s="134"/>
      <c r="P385" s="134"/>
    </row>
    <row r="386" spans="15:16" x14ac:dyDescent="0.15">
      <c r="O386" s="134"/>
      <c r="P386" s="134"/>
    </row>
  </sheetData>
  <phoneticPr fontId="0" type="noConversion"/>
  <hyperlinks>
    <hyperlink ref="L347" r:id="rId1" xr:uid="{AAE84256-7D3A-49F9-B6CD-EBAE1A879477}"/>
  </hyperlinks>
  <pageMargins left="0.75" right="0.75" top="1" bottom="1" header="0.5" footer="0.5"/>
  <pageSetup scale="79" orientation="landscape" r:id="rId2"/>
  <headerFooter alignWithMargins="0"/>
  <rowBreaks count="10" manualBreakCount="10">
    <brk id="30" max="9" man="1"/>
    <brk id="64" max="9" man="1"/>
    <brk id="83" max="9" man="1"/>
    <brk id="112" max="9" man="1"/>
    <brk id="150" max="9" man="1"/>
    <brk id="182" max="9" man="1"/>
    <brk id="228" max="9" man="1"/>
    <brk id="272" max="9" man="1"/>
    <brk id="328" max="9" man="1"/>
    <brk id="364" max="9" man="1"/>
  </rowBreaks>
  <drawing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72"/>
  <sheetViews>
    <sheetView zoomScale="118" zoomScaleNormal="70" workbookViewId="0">
      <selection activeCell="D30" sqref="D30"/>
    </sheetView>
  </sheetViews>
  <sheetFormatPr baseColWidth="10" defaultColWidth="9.1640625" defaultRowHeight="13" x14ac:dyDescent="0.15"/>
  <cols>
    <col min="1" max="1" width="36.83203125" style="7" customWidth="1"/>
    <col min="2" max="10" width="10.6640625" style="7" customWidth="1"/>
    <col min="11" max="16384" width="9.1640625" style="7"/>
  </cols>
  <sheetData>
    <row r="1" spans="1:18" x14ac:dyDescent="0.15">
      <c r="A1" s="1" t="str">
        <f>Data!A1</f>
        <v>Financial Statement Analysis Package (FSAP): Version 10.0</v>
      </c>
      <c r="B1" s="425"/>
      <c r="C1" s="425"/>
      <c r="D1" s="425"/>
      <c r="E1" s="425"/>
      <c r="F1" s="436"/>
      <c r="G1" s="436"/>
      <c r="H1" s="436"/>
      <c r="I1" s="445"/>
      <c r="J1" s="301"/>
      <c r="K1" s="334"/>
      <c r="L1" s="335"/>
      <c r="M1" s="335"/>
      <c r="N1" s="335"/>
      <c r="O1" s="336"/>
      <c r="P1" s="301"/>
      <c r="Q1" s="301"/>
      <c r="R1" s="301"/>
    </row>
    <row r="2" spans="1:18" x14ac:dyDescent="0.15">
      <c r="A2" s="5" t="str">
        <f>Data!A2</f>
        <v>Financial Reporting, Financial Statement Analysis, and Valuation: A Strategic Perspective, 10th Edition</v>
      </c>
      <c r="B2" s="427"/>
      <c r="C2" s="427"/>
      <c r="D2" s="427"/>
      <c r="E2" s="427"/>
      <c r="F2" s="427"/>
      <c r="G2" s="427"/>
      <c r="H2" s="427"/>
      <c r="I2" s="457"/>
      <c r="J2" s="301"/>
      <c r="K2" s="5" t="s">
        <v>2</v>
      </c>
      <c r="L2" s="338"/>
      <c r="M2" s="338"/>
      <c r="N2" s="338"/>
      <c r="O2" s="339"/>
      <c r="P2" s="301"/>
      <c r="Q2" s="301"/>
      <c r="R2" s="301"/>
    </row>
    <row r="3" spans="1:18" ht="14" thickBot="1" x14ac:dyDescent="0.2">
      <c r="A3" s="6" t="s">
        <v>3</v>
      </c>
      <c r="B3" s="390"/>
      <c r="C3" s="390"/>
      <c r="D3" s="390"/>
      <c r="E3" s="390"/>
      <c r="F3" s="390"/>
      <c r="G3" s="390"/>
      <c r="H3" s="390"/>
      <c r="I3" s="458"/>
      <c r="J3" s="301"/>
      <c r="K3" s="360"/>
      <c r="L3" s="340"/>
      <c r="M3" s="340"/>
      <c r="N3" s="340"/>
      <c r="O3" s="341"/>
      <c r="P3" s="301"/>
      <c r="Q3" s="301"/>
      <c r="R3" s="301"/>
    </row>
    <row r="4" spans="1:18" x14ac:dyDescent="0.15">
      <c r="A4" s="301"/>
      <c r="B4" s="301"/>
      <c r="C4" s="301"/>
      <c r="D4" s="301"/>
      <c r="E4" s="301"/>
      <c r="F4" s="301"/>
      <c r="G4" s="301"/>
      <c r="H4" s="301"/>
      <c r="I4" s="301"/>
      <c r="J4" s="301"/>
      <c r="K4" s="15" t="s">
        <v>4</v>
      </c>
      <c r="L4" s="15"/>
      <c r="M4" s="15"/>
      <c r="N4" s="15"/>
      <c r="O4" s="15"/>
      <c r="P4" s="15"/>
      <c r="Q4" s="15"/>
      <c r="R4" s="15"/>
    </row>
    <row r="6" spans="1:18" x14ac:dyDescent="0.15">
      <c r="A6" s="8" t="s">
        <v>550</v>
      </c>
      <c r="B6" s="301"/>
      <c r="C6" s="301"/>
      <c r="D6" s="301"/>
      <c r="E6" s="301"/>
      <c r="F6" s="301"/>
      <c r="G6" s="301"/>
      <c r="H6" s="301"/>
      <c r="I6" s="301"/>
      <c r="J6" s="301"/>
      <c r="K6" s="37" t="s">
        <v>551</v>
      </c>
      <c r="L6" s="301"/>
      <c r="M6" s="301"/>
      <c r="N6" s="301"/>
      <c r="O6" s="301"/>
      <c r="P6" s="301"/>
      <c r="Q6" s="301"/>
      <c r="R6" s="301"/>
    </row>
    <row r="7" spans="1:18" x14ac:dyDescent="0.15">
      <c r="A7" s="301"/>
      <c r="B7" s="301"/>
      <c r="C7" s="301"/>
      <c r="D7" s="301"/>
      <c r="E7" s="301"/>
      <c r="F7" s="301"/>
      <c r="G7" s="301"/>
      <c r="H7" s="301"/>
      <c r="I7" s="301"/>
      <c r="J7" s="301"/>
      <c r="K7" s="301" t="s">
        <v>552</v>
      </c>
      <c r="L7" s="301"/>
      <c r="M7" s="301"/>
      <c r="N7" s="301"/>
      <c r="O7" s="301"/>
      <c r="P7" s="301"/>
      <c r="Q7" s="301"/>
      <c r="R7" s="301"/>
    </row>
    <row r="8" spans="1:18" x14ac:dyDescent="0.15">
      <c r="A8" s="301"/>
      <c r="B8" s="301"/>
      <c r="C8" s="301"/>
      <c r="D8" s="301"/>
      <c r="E8" s="301"/>
      <c r="F8" s="301"/>
      <c r="G8" s="301"/>
      <c r="H8" s="301"/>
      <c r="I8" s="301"/>
      <c r="J8" s="301"/>
      <c r="K8" s="301" t="s">
        <v>553</v>
      </c>
      <c r="L8" s="301"/>
      <c r="M8" s="301"/>
      <c r="N8" s="301"/>
      <c r="O8" s="301"/>
      <c r="P8" s="301"/>
      <c r="Q8" s="301"/>
      <c r="R8" s="301"/>
    </row>
    <row r="9" spans="1:18" x14ac:dyDescent="0.15">
      <c r="A9" s="301"/>
      <c r="B9" s="301"/>
      <c r="C9" s="301"/>
      <c r="D9" s="301"/>
      <c r="E9" s="301"/>
      <c r="F9" s="301"/>
      <c r="G9" s="301"/>
      <c r="H9" s="301"/>
      <c r="I9" s="301"/>
      <c r="J9" s="301"/>
      <c r="K9" s="301" t="s">
        <v>554</v>
      </c>
      <c r="L9" s="301"/>
      <c r="M9" s="301"/>
      <c r="N9" s="301"/>
      <c r="O9" s="301"/>
      <c r="P9" s="301"/>
      <c r="Q9" s="301"/>
      <c r="R9" s="301"/>
    </row>
    <row r="10" spans="1:18" x14ac:dyDescent="0.15">
      <c r="A10" s="37"/>
      <c r="B10" s="301"/>
      <c r="C10" s="301"/>
      <c r="D10" s="301"/>
      <c r="E10" s="301"/>
      <c r="F10" s="301"/>
      <c r="G10" s="301"/>
      <c r="H10" s="301"/>
      <c r="I10" s="301"/>
      <c r="J10" s="301"/>
      <c r="K10" s="301" t="s">
        <v>555</v>
      </c>
      <c r="L10" s="301"/>
      <c r="M10" s="301"/>
      <c r="N10" s="301"/>
      <c r="O10" s="301"/>
      <c r="P10" s="301"/>
      <c r="Q10" s="301"/>
      <c r="R10" s="301"/>
    </row>
    <row r="11" spans="1:18" x14ac:dyDescent="0.15">
      <c r="A11" s="149" t="s">
        <v>9</v>
      </c>
      <c r="B11" s="150" t="str">
        <f>Data!B9</f>
        <v>Durdona Karimova &amp; Vincenzo Giordano</v>
      </c>
      <c r="C11" s="429"/>
      <c r="D11" s="429"/>
      <c r="E11" s="429"/>
      <c r="F11" s="429"/>
      <c r="G11" s="429"/>
      <c r="H11" s="429"/>
      <c r="I11" s="429"/>
      <c r="J11" s="301"/>
      <c r="K11" s="301"/>
      <c r="L11" s="301"/>
      <c r="M11" s="301"/>
      <c r="N11" s="301"/>
      <c r="O11" s="301"/>
      <c r="P11" s="301"/>
      <c r="Q11" s="301"/>
      <c r="R11" s="301"/>
    </row>
    <row r="12" spans="1:18" x14ac:dyDescent="0.15">
      <c r="A12" s="149" t="s">
        <v>12</v>
      </c>
      <c r="B12" s="150" t="str">
        <f>Data!B10</f>
        <v>L'Oreal</v>
      </c>
      <c r="C12" s="436"/>
      <c r="D12" s="436"/>
      <c r="E12" s="436"/>
      <c r="F12" s="436"/>
      <c r="G12" s="436"/>
      <c r="H12" s="436"/>
      <c r="I12" s="436"/>
      <c r="J12" s="301"/>
      <c r="K12" s="301"/>
      <c r="L12" s="301"/>
      <c r="M12" s="301"/>
      <c r="N12" s="301"/>
      <c r="O12" s="301"/>
      <c r="P12" s="301"/>
      <c r="Q12" s="301"/>
      <c r="R12" s="301"/>
    </row>
    <row r="13" spans="1:18" x14ac:dyDescent="0.15">
      <c r="A13" s="37"/>
      <c r="B13" s="301"/>
      <c r="C13" s="301"/>
      <c r="D13" s="301"/>
      <c r="E13" s="301"/>
      <c r="F13" s="301"/>
      <c r="G13" s="301"/>
      <c r="H13" s="301"/>
      <c r="I13" s="301"/>
      <c r="J13" s="301"/>
      <c r="K13" s="301" t="s">
        <v>556</v>
      </c>
      <c r="L13" s="301"/>
      <c r="M13" s="301"/>
      <c r="N13" s="301"/>
      <c r="O13" s="301"/>
      <c r="P13" s="301"/>
      <c r="Q13" s="301"/>
      <c r="R13" s="301"/>
    </row>
    <row r="14" spans="1:18" s="37" customFormat="1" x14ac:dyDescent="0.15">
      <c r="K14" s="301" t="s">
        <v>557</v>
      </c>
    </row>
    <row r="15" spans="1:18" s="37" customFormat="1" x14ac:dyDescent="0.15">
      <c r="K15" s="301" t="s">
        <v>558</v>
      </c>
    </row>
    <row r="16" spans="1:18" x14ac:dyDescent="0.15">
      <c r="A16" s="151" t="s">
        <v>559</v>
      </c>
      <c r="B16" s="459"/>
      <c r="C16" s="459"/>
      <c r="D16" s="459"/>
      <c r="E16" s="459"/>
      <c r="F16" s="459"/>
      <c r="G16" s="459"/>
      <c r="H16" s="459"/>
      <c r="I16" s="459"/>
      <c r="J16" s="301"/>
      <c r="K16" s="301"/>
      <c r="L16" s="301"/>
      <c r="M16" s="301"/>
      <c r="N16" s="301"/>
      <c r="O16" s="301"/>
      <c r="P16" s="301"/>
      <c r="Q16" s="301"/>
      <c r="R16" s="301"/>
    </row>
    <row r="17" spans="1:23" x14ac:dyDescent="0.15">
      <c r="A17" s="37"/>
      <c r="B17" s="460"/>
      <c r="C17" s="460"/>
      <c r="D17" s="460"/>
      <c r="E17" s="460"/>
      <c r="F17" s="460"/>
      <c r="G17" s="460"/>
      <c r="H17" s="460"/>
      <c r="I17" s="460"/>
      <c r="J17" s="301"/>
      <c r="K17" s="301"/>
      <c r="L17" s="301"/>
      <c r="M17" s="301"/>
      <c r="N17" s="301"/>
      <c r="O17" s="301"/>
      <c r="P17" s="301"/>
      <c r="Q17" s="301"/>
      <c r="R17" s="301"/>
      <c r="S17" s="301"/>
      <c r="T17" s="301"/>
      <c r="U17" s="301"/>
      <c r="V17" s="301"/>
      <c r="W17" s="301"/>
    </row>
    <row r="18" spans="1:23" x14ac:dyDescent="0.15">
      <c r="A18" s="37"/>
      <c r="B18" s="92" t="s">
        <v>560</v>
      </c>
      <c r="C18" s="436"/>
      <c r="D18" s="436"/>
      <c r="E18" s="93" t="s">
        <v>561</v>
      </c>
      <c r="F18" s="437"/>
      <c r="G18" s="437"/>
      <c r="H18" s="437"/>
      <c r="I18" s="437"/>
      <c r="J18" s="37"/>
      <c r="K18" s="301"/>
      <c r="L18" s="301"/>
      <c r="M18" s="301"/>
      <c r="N18" s="301"/>
      <c r="O18" s="301"/>
      <c r="P18" s="301"/>
      <c r="Q18" s="301"/>
      <c r="R18" s="301"/>
      <c r="S18" s="301"/>
      <c r="T18" s="301"/>
      <c r="U18" s="301"/>
      <c r="V18" s="301"/>
      <c r="W18" s="301"/>
    </row>
    <row r="19" spans="1:23" x14ac:dyDescent="0.15">
      <c r="A19" s="37" t="s">
        <v>207</v>
      </c>
      <c r="B19" s="94">
        <f>Forecasts!B19</f>
        <v>2022</v>
      </c>
      <c r="C19" s="94">
        <f>Forecasts!C19</f>
        <v>2023</v>
      </c>
      <c r="D19" s="94">
        <f>Forecasts!D19</f>
        <v>2024</v>
      </c>
      <c r="E19" s="94" t="str">
        <f>Forecasts!E19</f>
        <v>Year +1</v>
      </c>
      <c r="F19" s="94" t="str">
        <f>Forecasts!F19</f>
        <v>Year +2</v>
      </c>
      <c r="G19" s="94" t="str">
        <f>Forecasts!G19</f>
        <v>Year +3</v>
      </c>
      <c r="H19" s="94" t="str">
        <f>Forecasts!H19</f>
        <v>Year +4</v>
      </c>
      <c r="I19" s="94" t="str">
        <f>Forecasts!I19</f>
        <v>Year +5</v>
      </c>
      <c r="J19" s="94"/>
      <c r="K19" s="301"/>
      <c r="L19" s="301"/>
      <c r="M19" s="301"/>
      <c r="N19" s="301"/>
      <c r="O19" s="301"/>
      <c r="P19" s="301"/>
      <c r="Q19" s="301"/>
      <c r="R19" s="301"/>
      <c r="S19" s="301"/>
      <c r="T19" s="301"/>
      <c r="U19" s="301"/>
      <c r="V19" s="301"/>
      <c r="W19" s="301"/>
    </row>
    <row r="20" spans="1:23" x14ac:dyDescent="0.15">
      <c r="A20" s="37"/>
      <c r="B20" s="37"/>
      <c r="C20" s="37"/>
      <c r="D20" s="37"/>
      <c r="E20" s="94"/>
      <c r="F20" s="94"/>
      <c r="G20" s="94"/>
      <c r="H20" s="94"/>
      <c r="I20" s="94"/>
      <c r="J20" s="94"/>
      <c r="K20" s="301"/>
      <c r="L20" s="301"/>
      <c r="M20" s="301"/>
      <c r="N20" s="301"/>
      <c r="O20" s="301"/>
      <c r="P20" s="301"/>
      <c r="Q20" s="301"/>
      <c r="R20" s="301"/>
      <c r="S20" s="301"/>
      <c r="T20" s="301"/>
      <c r="U20" s="301"/>
      <c r="V20" s="301"/>
      <c r="W20" s="301"/>
    </row>
    <row r="23" spans="1:23" x14ac:dyDescent="0.15">
      <c r="A23" s="151" t="s">
        <v>562</v>
      </c>
      <c r="B23" s="429"/>
      <c r="C23" s="429"/>
      <c r="D23" s="429"/>
      <c r="E23" s="429"/>
      <c r="F23" s="429"/>
      <c r="G23" s="429"/>
      <c r="H23" s="429"/>
      <c r="I23" s="429"/>
      <c r="J23" s="301"/>
      <c r="K23" s="301"/>
      <c r="L23" s="301"/>
      <c r="M23" s="301"/>
      <c r="N23" s="301"/>
      <c r="O23" s="301"/>
      <c r="P23" s="301"/>
      <c r="Q23" s="301"/>
      <c r="R23" s="301"/>
      <c r="S23" s="301"/>
      <c r="T23" s="301"/>
      <c r="U23" s="301"/>
      <c r="V23" s="301"/>
      <c r="W23" s="301"/>
    </row>
    <row r="25" spans="1:23" x14ac:dyDescent="0.15">
      <c r="A25" s="151" t="s">
        <v>563</v>
      </c>
      <c r="B25" s="82"/>
      <c r="C25" s="82"/>
      <c r="D25" s="154"/>
      <c r="E25" s="155" t="s">
        <v>564</v>
      </c>
      <c r="F25" s="156"/>
      <c r="G25" s="157"/>
      <c r="H25" s="157"/>
      <c r="I25" s="157"/>
      <c r="J25" s="37"/>
      <c r="K25" s="301" t="s">
        <v>565</v>
      </c>
      <c r="L25" s="37"/>
      <c r="M25" s="37"/>
      <c r="N25" s="37"/>
      <c r="O25" s="37"/>
      <c r="P25" s="37"/>
      <c r="Q25" s="37"/>
      <c r="R25" s="37"/>
      <c r="S25" s="37"/>
      <c r="T25" s="37"/>
      <c r="U25" s="37"/>
      <c r="V25" s="37"/>
      <c r="W25" s="37"/>
    </row>
    <row r="26" spans="1:23" x14ac:dyDescent="0.15">
      <c r="A26" s="158"/>
      <c r="B26" s="158">
        <f t="shared" ref="B26:I26" si="0">B19</f>
        <v>2022</v>
      </c>
      <c r="C26" s="158">
        <f t="shared" si="0"/>
        <v>2023</v>
      </c>
      <c r="D26" s="158">
        <f t="shared" si="0"/>
        <v>2024</v>
      </c>
      <c r="E26" s="250" t="str">
        <f t="shared" si="0"/>
        <v>Year +1</v>
      </c>
      <c r="F26" s="250" t="str">
        <f t="shared" si="0"/>
        <v>Year +2</v>
      </c>
      <c r="G26" s="250" t="str">
        <f t="shared" si="0"/>
        <v>Year +3</v>
      </c>
      <c r="H26" s="250" t="str">
        <f t="shared" si="0"/>
        <v>Year +4</v>
      </c>
      <c r="I26" s="250" t="str">
        <f t="shared" si="0"/>
        <v>Year +5</v>
      </c>
      <c r="J26" s="37"/>
      <c r="K26" s="159"/>
      <c r="L26" s="159"/>
      <c r="M26" s="159"/>
      <c r="N26" s="159"/>
      <c r="O26" s="37"/>
      <c r="P26" s="37"/>
      <c r="Q26" s="37"/>
      <c r="R26" s="37"/>
      <c r="S26" s="37"/>
      <c r="T26" s="37"/>
      <c r="U26" s="37"/>
      <c r="V26" s="37"/>
      <c r="W26" s="37"/>
    </row>
    <row r="27" spans="1:23" x14ac:dyDescent="0.15">
      <c r="A27" s="94" t="s">
        <v>566</v>
      </c>
      <c r="B27" s="301"/>
      <c r="C27" s="160"/>
      <c r="D27" s="160"/>
      <c r="E27" s="301"/>
      <c r="F27" s="301"/>
      <c r="G27" s="301"/>
      <c r="H27" s="301"/>
      <c r="I27" s="301"/>
      <c r="J27" s="301"/>
      <c r="K27" s="161"/>
      <c r="L27" s="161"/>
      <c r="M27" s="161"/>
      <c r="N27" s="161"/>
      <c r="O27" s="37"/>
      <c r="P27" s="37"/>
      <c r="Q27" s="37"/>
      <c r="R27" s="37"/>
      <c r="S27" s="37"/>
      <c r="T27" s="37"/>
      <c r="U27" s="37"/>
      <c r="V27" s="37"/>
      <c r="W27" s="37"/>
    </row>
    <row r="28" spans="1:23" x14ac:dyDescent="0.15">
      <c r="A28" s="94" t="s">
        <v>567</v>
      </c>
      <c r="B28" s="162">
        <f>-Data!E117</f>
        <v>-9.1999999999999993</v>
      </c>
      <c r="C28" s="162">
        <f>-Data!F117</f>
        <v>-12.8</v>
      </c>
      <c r="D28" s="162">
        <f>-Data!G117</f>
        <v>-13.6</v>
      </c>
      <c r="E28" s="163"/>
      <c r="F28" s="163"/>
      <c r="G28" s="8"/>
      <c r="H28" s="8"/>
      <c r="I28" s="8"/>
      <c r="J28" s="37"/>
      <c r="K28" s="37"/>
      <c r="L28" s="37"/>
      <c r="M28" s="37"/>
      <c r="N28" s="37"/>
      <c r="O28" s="37"/>
      <c r="P28" s="37"/>
      <c r="Q28" s="37"/>
      <c r="R28" s="37"/>
      <c r="S28" s="37"/>
      <c r="T28" s="37"/>
      <c r="U28" s="37"/>
      <c r="V28" s="37"/>
      <c r="W28" s="37"/>
    </row>
    <row r="29" spans="1:23" x14ac:dyDescent="0.15">
      <c r="A29" s="94" t="s">
        <v>568</v>
      </c>
      <c r="B29" s="162">
        <f>-Data!E116</f>
        <v>1343.2</v>
      </c>
      <c r="C29" s="162">
        <f>-Data!F116</f>
        <v>1488.7</v>
      </c>
      <c r="D29" s="162">
        <f>-Data!G116</f>
        <v>1641.7</v>
      </c>
      <c r="E29" s="8"/>
      <c r="F29" s="8"/>
      <c r="G29" s="153"/>
      <c r="H29" s="153"/>
      <c r="I29" s="153"/>
      <c r="J29" s="153"/>
      <c r="K29" s="153"/>
      <c r="L29" s="153"/>
      <c r="M29" s="153"/>
      <c r="N29" s="153"/>
      <c r="O29" s="37"/>
      <c r="P29" s="37"/>
      <c r="Q29" s="37"/>
      <c r="R29" s="37"/>
      <c r="S29" s="37"/>
      <c r="T29" s="37"/>
      <c r="U29" s="37"/>
      <c r="V29" s="37"/>
      <c r="W29" s="37"/>
    </row>
    <row r="30" spans="1:23" x14ac:dyDescent="0.15">
      <c r="A30" s="94" t="s">
        <v>569</v>
      </c>
      <c r="B30" s="164">
        <f>B28+B29</f>
        <v>1334</v>
      </c>
      <c r="C30" s="164">
        <f>C28+C29</f>
        <v>1475.9</v>
      </c>
      <c r="D30" s="164">
        <f>D28+D29</f>
        <v>1628.1000000000001</v>
      </c>
      <c r="E30" s="165">
        <v>1479</v>
      </c>
      <c r="F30" s="165">
        <f>E30</f>
        <v>1479</v>
      </c>
      <c r="G30" s="165">
        <f>F30</f>
        <v>1479</v>
      </c>
      <c r="H30" s="165">
        <f>G30</f>
        <v>1479</v>
      </c>
      <c r="I30" s="165">
        <f>H30</f>
        <v>1479</v>
      </c>
      <c r="J30" s="120"/>
      <c r="K30" s="37"/>
      <c r="L30" s="267"/>
      <c r="M30" s="37"/>
      <c r="N30" s="37"/>
      <c r="O30" s="37"/>
      <c r="P30" s="37"/>
      <c r="Q30" s="37"/>
      <c r="R30" s="37"/>
      <c r="S30" s="37"/>
      <c r="T30" s="37"/>
      <c r="U30" s="37"/>
      <c r="V30" s="37"/>
      <c r="W30" s="37"/>
    </row>
    <row r="31" spans="1:23" x14ac:dyDescent="0.15">
      <c r="A31" s="37"/>
      <c r="B31" s="94"/>
      <c r="C31" s="166"/>
      <c r="D31" s="166"/>
      <c r="E31" s="167"/>
      <c r="F31" s="167"/>
      <c r="G31" s="166"/>
      <c r="H31" s="166"/>
      <c r="I31" s="37"/>
      <c r="J31" s="37"/>
      <c r="K31" s="37"/>
      <c r="L31" s="37"/>
      <c r="M31" s="37"/>
      <c r="N31" s="37"/>
      <c r="O31" s="37"/>
      <c r="P31" s="37"/>
      <c r="Q31" s="37"/>
      <c r="R31" s="37"/>
      <c r="S31" s="37"/>
      <c r="T31" s="37"/>
      <c r="U31" s="37"/>
      <c r="V31" s="37"/>
      <c r="W31" s="37"/>
    </row>
    <row r="32" spans="1:23" x14ac:dyDescent="0.15">
      <c r="A32" s="37" t="s">
        <v>570</v>
      </c>
      <c r="B32" s="94"/>
      <c r="C32" s="168"/>
      <c r="D32" s="168"/>
      <c r="E32" s="168"/>
      <c r="F32" s="168"/>
      <c r="G32" s="168"/>
      <c r="H32" s="168"/>
      <c r="I32" s="168"/>
      <c r="J32" s="168"/>
      <c r="K32" s="168"/>
      <c r="L32" s="168"/>
      <c r="M32" s="168"/>
      <c r="N32" s="168"/>
      <c r="O32" s="37"/>
      <c r="P32" s="37"/>
      <c r="Q32" s="37"/>
      <c r="R32" s="37"/>
      <c r="S32" s="37"/>
      <c r="T32" s="37"/>
      <c r="U32" s="37"/>
      <c r="V32" s="37"/>
      <c r="W32" s="37"/>
    </row>
    <row r="33" spans="1:23" x14ac:dyDescent="0.15">
      <c r="A33" s="94" t="s">
        <v>571</v>
      </c>
      <c r="B33" s="131">
        <f>B30/Data!D25</f>
        <v>0.40842569346641361</v>
      </c>
      <c r="C33" s="131">
        <f t="shared" ref="C33:I33" si="1">C30/B42</f>
        <v>0.42390211678203182</v>
      </c>
      <c r="D33" s="131">
        <f t="shared" si="1"/>
        <v>0.42094785014349617</v>
      </c>
      <c r="E33" s="169">
        <f>E30/D42</f>
        <v>0.35197524988100903</v>
      </c>
      <c r="F33" s="169">
        <f>F30/E42</f>
        <v>0.26034148917444111</v>
      </c>
      <c r="G33" s="169">
        <f t="shared" si="1"/>
        <v>0.20656424581005586</v>
      </c>
      <c r="H33" s="169">
        <f t="shared" si="1"/>
        <v>0.17120037041324226</v>
      </c>
      <c r="I33" s="169">
        <f t="shared" si="1"/>
        <v>0.14617513342557817</v>
      </c>
      <c r="J33" s="37"/>
      <c r="K33" s="37"/>
      <c r="L33" s="37"/>
      <c r="M33" s="37"/>
      <c r="N33" s="37"/>
      <c r="O33" s="37"/>
      <c r="P33" s="37"/>
      <c r="Q33" s="37"/>
      <c r="R33" s="37"/>
      <c r="S33" s="37"/>
      <c r="T33" s="37"/>
      <c r="U33" s="37"/>
      <c r="V33" s="37"/>
      <c r="W33" s="37"/>
    </row>
    <row r="34" spans="1:23" x14ac:dyDescent="0.15">
      <c r="A34" s="94" t="s">
        <v>572</v>
      </c>
      <c r="B34" s="131">
        <f>B30/Data!E65</f>
        <v>3.4866154738817483E-2</v>
      </c>
      <c r="C34" s="131">
        <f>C30/Data!F65</f>
        <v>3.5838038001578344E-2</v>
      </c>
      <c r="D34" s="131">
        <f>D30/Data!G65</f>
        <v>3.7438946990811003E-2</v>
      </c>
      <c r="E34" s="169">
        <f>E30/Forecasts!E21</f>
        <v>3.1491037382480297E-2</v>
      </c>
      <c r="F34" s="169">
        <f>F30/Forecasts!F21</f>
        <v>2.9158367946741013E-2</v>
      </c>
      <c r="G34" s="169">
        <f>G30/Forecasts!G21</f>
        <v>2.6998488839575011E-2</v>
      </c>
      <c r="H34" s="169">
        <f>H30/Forecasts!H21</f>
        <v>2.4998600777384267E-2</v>
      </c>
      <c r="I34" s="169">
        <f>I30/Forecasts!I21</f>
        <v>2.31468525716521E-2</v>
      </c>
      <c r="J34" s="103"/>
      <c r="K34" s="170"/>
      <c r="L34" s="170"/>
      <c r="M34" s="170"/>
      <c r="N34" s="170"/>
      <c r="O34" s="37"/>
      <c r="P34" s="37"/>
      <c r="Q34" s="37"/>
      <c r="R34" s="37"/>
      <c r="S34" s="37"/>
      <c r="T34" s="37"/>
      <c r="U34" s="37"/>
      <c r="V34" s="37"/>
      <c r="W34" s="37"/>
    </row>
    <row r="35" spans="1:23" x14ac:dyDescent="0.15">
      <c r="A35" s="37"/>
      <c r="B35" s="37"/>
      <c r="C35" s="37"/>
      <c r="D35" s="43">
        <f>AVERAGE(B34:D34)</f>
        <v>3.604771324373561E-2</v>
      </c>
      <c r="E35" s="166"/>
      <c r="F35" s="167"/>
      <c r="G35" s="170"/>
      <c r="H35" s="170"/>
      <c r="I35" s="170"/>
      <c r="J35" s="170"/>
      <c r="K35" s="170"/>
      <c r="L35" s="170"/>
      <c r="M35" s="170"/>
      <c r="N35" s="170"/>
      <c r="O35" s="37"/>
      <c r="P35" s="37"/>
      <c r="Q35" s="37"/>
      <c r="R35" s="37"/>
      <c r="S35" s="37"/>
      <c r="T35" s="37"/>
      <c r="U35" s="37"/>
      <c r="V35" s="37"/>
      <c r="W35" s="37"/>
    </row>
    <row r="36" spans="1:23" x14ac:dyDescent="0.15">
      <c r="A36" s="37"/>
      <c r="B36" s="37"/>
      <c r="C36" s="37"/>
      <c r="D36" s="166"/>
      <c r="E36" s="166"/>
      <c r="F36" s="166"/>
      <c r="G36" s="166"/>
      <c r="H36" s="166"/>
      <c r="I36" s="37"/>
      <c r="J36" s="37"/>
      <c r="K36" s="37"/>
      <c r="L36" s="37"/>
      <c r="M36" s="37"/>
      <c r="N36" s="37"/>
      <c r="O36" s="37"/>
      <c r="P36" s="37"/>
      <c r="Q36" s="37"/>
      <c r="R36" s="37"/>
      <c r="S36" s="37"/>
      <c r="T36" s="37"/>
      <c r="U36" s="37"/>
      <c r="V36" s="37"/>
      <c r="W36" s="37"/>
    </row>
    <row r="37" spans="1:23" x14ac:dyDescent="0.15">
      <c r="A37" s="151" t="s">
        <v>573</v>
      </c>
      <c r="B37" s="82"/>
      <c r="C37" s="82"/>
      <c r="D37" s="154"/>
      <c r="E37" s="171" t="s">
        <v>574</v>
      </c>
      <c r="F37" s="156"/>
      <c r="G37" s="157"/>
      <c r="H37" s="157"/>
      <c r="I37" s="157"/>
      <c r="J37" s="37"/>
      <c r="K37" s="301" t="s">
        <v>575</v>
      </c>
      <c r="L37" s="37"/>
      <c r="M37" s="37"/>
      <c r="N37" s="37"/>
      <c r="O37" s="37"/>
      <c r="P37" s="37"/>
      <c r="Q37" s="37"/>
      <c r="R37" s="37"/>
      <c r="S37" s="37"/>
      <c r="T37" s="37"/>
      <c r="U37" s="37"/>
      <c r="V37" s="37"/>
      <c r="W37" s="37"/>
    </row>
    <row r="38" spans="1:23" x14ac:dyDescent="0.15">
      <c r="A38" s="37"/>
      <c r="B38" s="37"/>
      <c r="C38" s="37"/>
      <c r="D38" s="166"/>
      <c r="E38" s="166"/>
      <c r="F38" s="166"/>
      <c r="G38" s="166"/>
      <c r="H38" s="166"/>
      <c r="I38" s="37"/>
      <c r="J38" s="37"/>
      <c r="K38" s="301" t="s">
        <v>576</v>
      </c>
      <c r="L38" s="37"/>
      <c r="M38" s="37"/>
      <c r="N38" s="37"/>
      <c r="O38" s="37"/>
      <c r="P38" s="37"/>
      <c r="Q38" s="37"/>
      <c r="R38" s="37"/>
      <c r="S38" s="37"/>
      <c r="T38" s="37"/>
      <c r="U38" s="37"/>
      <c r="V38" s="37"/>
      <c r="W38" s="37"/>
    </row>
    <row r="39" spans="1:23" x14ac:dyDescent="0.15">
      <c r="A39" s="37" t="s">
        <v>577</v>
      </c>
      <c r="B39" s="37">
        <f>B26</f>
        <v>2022</v>
      </c>
      <c r="C39" s="37">
        <f t="shared" ref="C39:I39" si="2">C26</f>
        <v>2023</v>
      </c>
      <c r="D39" s="37">
        <f t="shared" si="2"/>
        <v>2024</v>
      </c>
      <c r="E39" s="94" t="str">
        <f t="shared" si="2"/>
        <v>Year +1</v>
      </c>
      <c r="F39" s="94" t="str">
        <f t="shared" si="2"/>
        <v>Year +2</v>
      </c>
      <c r="G39" s="94" t="str">
        <f t="shared" si="2"/>
        <v>Year +3</v>
      </c>
      <c r="H39" s="94" t="str">
        <f t="shared" si="2"/>
        <v>Year +4</v>
      </c>
      <c r="I39" s="94" t="str">
        <f t="shared" si="2"/>
        <v>Year +5</v>
      </c>
      <c r="J39" s="37"/>
      <c r="K39" s="172"/>
      <c r="L39" s="172"/>
      <c r="M39" s="172"/>
      <c r="N39" s="172"/>
      <c r="O39" s="172"/>
      <c r="P39" s="172"/>
      <c r="Q39" s="37"/>
      <c r="R39" s="37"/>
      <c r="S39" s="37"/>
      <c r="T39" s="37"/>
      <c r="U39" s="37"/>
      <c r="V39" s="37"/>
      <c r="W39" s="37"/>
    </row>
    <row r="40" spans="1:23" x14ac:dyDescent="0.15">
      <c r="A40" s="152" t="s">
        <v>578</v>
      </c>
      <c r="B40" s="8"/>
      <c r="C40" s="8"/>
      <c r="D40" s="8"/>
      <c r="E40" s="8">
        <f>D42</f>
        <v>4202</v>
      </c>
      <c r="F40" s="8">
        <f>E42</f>
        <v>5681</v>
      </c>
      <c r="G40" s="8">
        <f>F42</f>
        <v>7160</v>
      </c>
      <c r="H40" s="8">
        <f>G42</f>
        <v>8639</v>
      </c>
      <c r="I40" s="8">
        <f>H42</f>
        <v>10118</v>
      </c>
      <c r="J40" s="37"/>
      <c r="K40" s="172"/>
      <c r="L40" s="172"/>
      <c r="M40" s="172"/>
      <c r="N40" s="172"/>
      <c r="O40" s="172"/>
      <c r="P40" s="172"/>
      <c r="Q40" s="37"/>
      <c r="R40" s="37"/>
      <c r="S40" s="37"/>
      <c r="T40" s="37"/>
      <c r="U40" s="37"/>
      <c r="V40" s="37"/>
      <c r="W40" s="37"/>
    </row>
    <row r="41" spans="1:23" x14ac:dyDescent="0.15">
      <c r="A41" s="152" t="s">
        <v>579</v>
      </c>
      <c r="B41" s="8"/>
      <c r="C41" s="8"/>
      <c r="D41" s="8"/>
      <c r="E41" s="8">
        <f>E30</f>
        <v>1479</v>
      </c>
      <c r="F41" s="8">
        <f>F30</f>
        <v>1479</v>
      </c>
      <c r="G41" s="8">
        <f>G30</f>
        <v>1479</v>
      </c>
      <c r="H41" s="8">
        <f>H30</f>
        <v>1479</v>
      </c>
      <c r="I41" s="8">
        <f>I30</f>
        <v>1479</v>
      </c>
      <c r="J41" s="37"/>
      <c r="K41" s="172"/>
      <c r="L41" s="172"/>
      <c r="M41" s="172"/>
      <c r="N41" s="172"/>
      <c r="O41" s="172"/>
      <c r="P41" s="172"/>
      <c r="Q41" s="37"/>
      <c r="R41" s="37"/>
      <c r="S41" s="37"/>
      <c r="T41" s="37"/>
      <c r="U41" s="37"/>
      <c r="V41" s="37"/>
      <c r="W41" s="37"/>
    </row>
    <row r="42" spans="1:23" x14ac:dyDescent="0.15">
      <c r="A42" s="152" t="s">
        <v>580</v>
      </c>
      <c r="B42" s="100">
        <f>Data!E25</f>
        <v>3481.7</v>
      </c>
      <c r="C42" s="100">
        <f>Data!F25</f>
        <v>3867.7</v>
      </c>
      <c r="D42" s="100">
        <f>Data!G25</f>
        <v>4202</v>
      </c>
      <c r="E42" s="100">
        <f>E40+E41</f>
        <v>5681</v>
      </c>
      <c r="F42" s="100">
        <f>F40+F41</f>
        <v>7160</v>
      </c>
      <c r="G42" s="100">
        <f>G40+G41</f>
        <v>8639</v>
      </c>
      <c r="H42" s="100">
        <f>H40+H41</f>
        <v>10118</v>
      </c>
      <c r="I42" s="100">
        <f>I40+I41</f>
        <v>11597</v>
      </c>
      <c r="J42" s="173"/>
      <c r="K42" s="174"/>
      <c r="L42" s="174"/>
      <c r="M42" s="174"/>
      <c r="N42" s="174"/>
      <c r="O42" s="174"/>
      <c r="P42" s="174"/>
      <c r="Q42" s="37"/>
      <c r="R42" s="37"/>
      <c r="S42" s="37"/>
      <c r="T42" s="37"/>
      <c r="U42" s="37"/>
      <c r="V42" s="37"/>
      <c r="W42" s="37"/>
    </row>
    <row r="43" spans="1:23" x14ac:dyDescent="0.15">
      <c r="A43" s="94"/>
      <c r="B43" s="8"/>
      <c r="C43" s="8"/>
      <c r="D43" s="8"/>
      <c r="E43" s="8"/>
      <c r="F43" s="8"/>
      <c r="G43" s="8"/>
      <c r="H43" s="8"/>
      <c r="I43" s="8"/>
      <c r="J43" s="173"/>
      <c r="K43" s="174"/>
      <c r="L43" s="174"/>
      <c r="M43" s="174"/>
      <c r="N43" s="174"/>
      <c r="O43" s="174"/>
      <c r="P43" s="174"/>
      <c r="Q43" s="37"/>
      <c r="R43" s="37"/>
      <c r="S43" s="37"/>
      <c r="T43" s="37"/>
      <c r="U43" s="37"/>
      <c r="V43" s="37"/>
      <c r="W43" s="37"/>
    </row>
    <row r="44" spans="1:23" x14ac:dyDescent="0.15">
      <c r="A44" s="37" t="s">
        <v>581</v>
      </c>
      <c r="B44" s="8"/>
      <c r="C44" s="8"/>
      <c r="D44" s="8"/>
      <c r="E44" s="8"/>
      <c r="F44" s="8"/>
      <c r="G44" s="8"/>
      <c r="H44" s="8"/>
      <c r="I44" s="8"/>
      <c r="J44" s="173"/>
      <c r="K44" s="174"/>
      <c r="L44" s="174"/>
      <c r="M44" s="174"/>
      <c r="N44" s="174"/>
      <c r="O44" s="174"/>
      <c r="P44" s="174"/>
      <c r="Q44" s="37"/>
      <c r="R44" s="37"/>
      <c r="S44" s="37"/>
      <c r="T44" s="37"/>
      <c r="U44" s="37"/>
      <c r="V44" s="37"/>
      <c r="W44" s="37"/>
    </row>
    <row r="45" spans="1:23" x14ac:dyDescent="0.15">
      <c r="A45" s="37" t="s">
        <v>582</v>
      </c>
      <c r="B45" s="8"/>
      <c r="C45" s="8"/>
      <c r="D45" s="8"/>
      <c r="E45" s="8">
        <f>D47</f>
        <v>0</v>
      </c>
      <c r="F45" s="8">
        <f>E47</f>
        <v>-378.73333333333335</v>
      </c>
      <c r="G45" s="8">
        <f>F47</f>
        <v>-856.06666666666661</v>
      </c>
      <c r="H45" s="8">
        <f>G47</f>
        <v>-1432</v>
      </c>
      <c r="I45" s="8">
        <f>H47</f>
        <v>-2106.5333333333333</v>
      </c>
      <c r="J45" s="173"/>
      <c r="K45" s="174"/>
      <c r="L45" s="174"/>
      <c r="M45" s="174"/>
      <c r="N45" s="174"/>
      <c r="O45" s="174"/>
      <c r="P45" s="174"/>
      <c r="Q45" s="37"/>
      <c r="R45" s="37"/>
      <c r="S45" s="37"/>
      <c r="T45" s="37"/>
      <c r="U45" s="37"/>
      <c r="V45" s="37"/>
      <c r="W45" s="37"/>
    </row>
    <row r="46" spans="1:23" x14ac:dyDescent="0.15">
      <c r="A46" s="37" t="s">
        <v>583</v>
      </c>
      <c r="B46" s="8"/>
      <c r="C46" s="8"/>
      <c r="D46" s="8"/>
      <c r="E46" s="8">
        <f>-E62</f>
        <v>-378.73333333333335</v>
      </c>
      <c r="F46" s="8">
        <f>-F62</f>
        <v>-477.33333333333331</v>
      </c>
      <c r="G46" s="8">
        <f>-G62</f>
        <v>-575.93333333333328</v>
      </c>
      <c r="H46" s="8">
        <f>-H62</f>
        <v>-674.5333333333333</v>
      </c>
      <c r="I46" s="8">
        <f>-I62</f>
        <v>-773.13333333333333</v>
      </c>
      <c r="J46" s="173"/>
      <c r="K46" s="174"/>
      <c r="L46" s="174"/>
      <c r="M46" s="174"/>
      <c r="N46" s="174"/>
      <c r="O46" s="174"/>
      <c r="P46" s="174"/>
      <c r="Q46" s="37"/>
      <c r="R46" s="37"/>
      <c r="S46" s="37"/>
      <c r="T46" s="37"/>
      <c r="U46" s="37"/>
      <c r="V46" s="37"/>
      <c r="W46" s="37"/>
    </row>
    <row r="47" spans="1:23" x14ac:dyDescent="0.15">
      <c r="A47" s="37" t="s">
        <v>584</v>
      </c>
      <c r="B47" s="100">
        <f>Data!E26</f>
        <v>0</v>
      </c>
      <c r="C47" s="100">
        <f>Data!F26</f>
        <v>0</v>
      </c>
      <c r="D47" s="100">
        <f>Data!G26</f>
        <v>0</v>
      </c>
      <c r="E47" s="100">
        <f>E45+E46</f>
        <v>-378.73333333333335</v>
      </c>
      <c r="F47" s="100">
        <f>F45+F46</f>
        <v>-856.06666666666661</v>
      </c>
      <c r="G47" s="100">
        <f>G45+G46</f>
        <v>-1432</v>
      </c>
      <c r="H47" s="100">
        <f>H45+H46</f>
        <v>-2106.5333333333333</v>
      </c>
      <c r="I47" s="100">
        <f>I45+I46</f>
        <v>-2879.6666666666665</v>
      </c>
      <c r="J47" s="174"/>
      <c r="K47" s="174"/>
      <c r="L47" s="174"/>
      <c r="M47" s="174"/>
      <c r="N47" s="174"/>
      <c r="O47" s="174"/>
      <c r="P47" s="174"/>
      <c r="Q47" s="37"/>
      <c r="R47" s="37"/>
      <c r="S47" s="37"/>
      <c r="T47" s="37"/>
      <c r="U47" s="37"/>
      <c r="V47" s="37"/>
      <c r="W47" s="37"/>
    </row>
    <row r="48" spans="1:23" x14ac:dyDescent="0.15">
      <c r="A48" s="37"/>
      <c r="B48" s="8"/>
      <c r="C48" s="8"/>
      <c r="D48" s="8"/>
      <c r="E48" s="175"/>
      <c r="F48" s="175"/>
      <c r="G48" s="175"/>
      <c r="H48" s="175"/>
      <c r="I48" s="175"/>
      <c r="J48" s="174"/>
      <c r="K48" s="174"/>
      <c r="L48" s="174"/>
      <c r="M48" s="174"/>
      <c r="N48" s="174"/>
      <c r="O48" s="174"/>
      <c r="P48" s="174"/>
      <c r="Q48" s="37"/>
      <c r="R48" s="37"/>
      <c r="S48" s="37"/>
      <c r="T48" s="37"/>
      <c r="U48" s="37"/>
      <c r="V48" s="37"/>
      <c r="W48" s="37"/>
    </row>
    <row r="49" spans="1:23" x14ac:dyDescent="0.15">
      <c r="A49" s="37" t="s">
        <v>585</v>
      </c>
      <c r="B49" s="100">
        <f t="shared" ref="B49:I49" si="3">B42+B47</f>
        <v>3481.7</v>
      </c>
      <c r="C49" s="100">
        <f t="shared" si="3"/>
        <v>3867.7</v>
      </c>
      <c r="D49" s="100">
        <f t="shared" si="3"/>
        <v>4202</v>
      </c>
      <c r="E49" s="176">
        <f>E42+E47</f>
        <v>5302.2666666666664</v>
      </c>
      <c r="F49" s="176">
        <f t="shared" si="3"/>
        <v>6303.9333333333334</v>
      </c>
      <c r="G49" s="176">
        <f t="shared" si="3"/>
        <v>7207</v>
      </c>
      <c r="H49" s="176">
        <f t="shared" si="3"/>
        <v>8011.4666666666672</v>
      </c>
      <c r="I49" s="176">
        <f t="shared" si="3"/>
        <v>8717.3333333333339</v>
      </c>
      <c r="J49" s="174"/>
      <c r="K49" s="174"/>
      <c r="L49" s="174"/>
      <c r="M49" s="174"/>
      <c r="N49" s="174"/>
      <c r="O49" s="174"/>
      <c r="P49" s="174"/>
      <c r="Q49" s="37"/>
      <c r="R49" s="37"/>
      <c r="S49" s="37"/>
      <c r="T49" s="37"/>
      <c r="U49" s="37"/>
      <c r="V49" s="37"/>
      <c r="W49" s="37"/>
    </row>
    <row r="50" spans="1:23" x14ac:dyDescent="0.15">
      <c r="A50" s="37"/>
      <c r="B50" s="37"/>
      <c r="C50" s="37"/>
      <c r="D50" s="37"/>
      <c r="E50" s="37"/>
      <c r="F50" s="37"/>
      <c r="G50" s="174"/>
      <c r="H50" s="174"/>
      <c r="I50" s="174"/>
      <c r="J50" s="174"/>
      <c r="K50" s="174"/>
      <c r="L50" s="174"/>
      <c r="M50" s="174"/>
      <c r="N50" s="174"/>
      <c r="O50" s="174"/>
      <c r="P50" s="37"/>
      <c r="Q50" s="37"/>
      <c r="R50" s="37"/>
      <c r="S50" s="37"/>
      <c r="T50" s="37"/>
      <c r="U50" s="37"/>
      <c r="V50" s="37"/>
      <c r="W50" s="37"/>
    </row>
    <row r="51" spans="1:23" x14ac:dyDescent="0.15">
      <c r="A51" s="37"/>
      <c r="B51" s="173"/>
      <c r="C51" s="173"/>
      <c r="D51" s="173"/>
      <c r="E51" s="134"/>
      <c r="F51" s="134"/>
      <c r="G51" s="37"/>
      <c r="H51" s="174"/>
      <c r="I51" s="174"/>
      <c r="J51" s="174"/>
      <c r="K51" s="37"/>
      <c r="L51" s="37"/>
      <c r="M51" s="37"/>
      <c r="N51" s="37"/>
      <c r="O51" s="37"/>
      <c r="P51" s="37"/>
      <c r="Q51" s="37"/>
      <c r="R51" s="37"/>
      <c r="S51" s="37"/>
      <c r="T51" s="37"/>
      <c r="U51" s="37"/>
      <c r="V51" s="37"/>
      <c r="W51" s="37"/>
    </row>
    <row r="52" spans="1:23" x14ac:dyDescent="0.15">
      <c r="A52" s="37" t="s">
        <v>586</v>
      </c>
      <c r="B52" s="173"/>
      <c r="C52" s="173"/>
      <c r="D52" s="173"/>
      <c r="E52" s="134" t="s">
        <v>587</v>
      </c>
      <c r="F52" s="134"/>
      <c r="G52" s="37"/>
      <c r="H52" s="174"/>
      <c r="I52" s="174"/>
      <c r="J52" s="174"/>
      <c r="K52" s="37"/>
      <c r="L52" s="37"/>
      <c r="M52" s="37"/>
      <c r="N52" s="37"/>
      <c r="O52" s="37"/>
      <c r="P52" s="37"/>
      <c r="Q52" s="37"/>
      <c r="R52" s="37"/>
      <c r="S52" s="37"/>
      <c r="T52" s="37"/>
      <c r="U52" s="37"/>
      <c r="V52" s="37"/>
      <c r="W52" s="37"/>
    </row>
    <row r="53" spans="1:23" x14ac:dyDescent="0.15">
      <c r="A53" s="301"/>
      <c r="B53" s="37"/>
      <c r="C53" s="94" t="s">
        <v>588</v>
      </c>
      <c r="D53" s="8">
        <f>D42</f>
        <v>4202</v>
      </c>
      <c r="E53" s="8">
        <f>$D$53/$D$70</f>
        <v>280.13333333333333</v>
      </c>
      <c r="F53" s="8">
        <f>$D$53/$D$70</f>
        <v>280.13333333333333</v>
      </c>
      <c r="G53" s="8">
        <f>$D$53/$D$70</f>
        <v>280.13333333333333</v>
      </c>
      <c r="H53" s="8">
        <f>$D$53/$D$70</f>
        <v>280.13333333333333</v>
      </c>
      <c r="I53" s="8">
        <f>$D$53/$D$70</f>
        <v>280.13333333333333</v>
      </c>
      <c r="J53" s="115"/>
      <c r="K53" s="461" t="s">
        <v>589</v>
      </c>
      <c r="L53" s="134"/>
      <c r="M53" s="134"/>
      <c r="N53" s="134"/>
      <c r="O53" s="134"/>
      <c r="P53" s="134"/>
      <c r="Q53" s="134"/>
      <c r="R53" s="134"/>
      <c r="S53" s="37"/>
      <c r="T53" s="37"/>
      <c r="U53" s="37"/>
      <c r="V53" s="37"/>
      <c r="W53" s="37"/>
    </row>
    <row r="54" spans="1:23" x14ac:dyDescent="0.15">
      <c r="A54" s="301"/>
      <c r="B54" s="37"/>
      <c r="C54" s="94" t="s">
        <v>590</v>
      </c>
      <c r="D54" s="8">
        <f>D49</f>
        <v>4202</v>
      </c>
      <c r="E54" s="8">
        <f>$D$49-E53</f>
        <v>3921.8666666666668</v>
      </c>
      <c r="F54" s="8">
        <f>E54-F53</f>
        <v>3641.7333333333336</v>
      </c>
      <c r="G54" s="8">
        <f>F54-G53</f>
        <v>3361.6000000000004</v>
      </c>
      <c r="H54" s="8">
        <f>G54-H53</f>
        <v>3081.4666666666672</v>
      </c>
      <c r="I54" s="8">
        <f>H54-I53</f>
        <v>2801.3333333333339</v>
      </c>
      <c r="J54" s="177"/>
      <c r="K54" s="301" t="s">
        <v>591</v>
      </c>
      <c r="L54" s="178"/>
      <c r="M54" s="178"/>
      <c r="N54" s="178"/>
      <c r="O54" s="178"/>
      <c r="P54" s="178"/>
      <c r="Q54" s="178"/>
      <c r="R54" s="178"/>
      <c r="S54" s="37"/>
      <c r="T54" s="37"/>
      <c r="U54" s="37"/>
      <c r="V54" s="37"/>
      <c r="W54" s="37"/>
    </row>
    <row r="55" spans="1:23" x14ac:dyDescent="0.15">
      <c r="A55" s="179"/>
      <c r="B55" s="37"/>
      <c r="C55" s="37"/>
      <c r="D55" s="8"/>
      <c r="E55" s="8"/>
      <c r="F55" s="8"/>
      <c r="G55" s="8"/>
      <c r="H55" s="8"/>
      <c r="I55" s="8"/>
      <c r="J55" s="37"/>
      <c r="K55" s="37"/>
      <c r="L55" s="37"/>
      <c r="M55" s="37"/>
      <c r="N55" s="37"/>
      <c r="O55" s="37"/>
      <c r="P55" s="37"/>
      <c r="Q55" s="37"/>
      <c r="R55" s="37"/>
      <c r="S55" s="37"/>
      <c r="T55" s="37"/>
      <c r="U55" s="37"/>
      <c r="V55" s="37"/>
      <c r="W55" s="37"/>
    </row>
    <row r="56" spans="1:23" x14ac:dyDescent="0.15">
      <c r="A56" s="37" t="s">
        <v>592</v>
      </c>
      <c r="B56" s="37"/>
      <c r="C56" s="37"/>
      <c r="D56" s="8"/>
      <c r="E56" s="8" t="s">
        <v>593</v>
      </c>
      <c r="F56" s="8"/>
      <c r="G56" s="8"/>
      <c r="H56" s="8"/>
      <c r="I56" s="8"/>
      <c r="J56" s="37"/>
      <c r="K56" s="37"/>
      <c r="L56" s="37"/>
      <c r="M56" s="37"/>
      <c r="N56" s="37"/>
      <c r="O56" s="37"/>
      <c r="P56" s="37"/>
      <c r="Q56" s="37"/>
      <c r="R56" s="37"/>
      <c r="S56" s="37"/>
      <c r="T56" s="37"/>
      <c r="U56" s="37"/>
      <c r="V56" s="37"/>
      <c r="W56" s="37"/>
    </row>
    <row r="57" spans="1:23" x14ac:dyDescent="0.15">
      <c r="A57" s="37"/>
      <c r="B57" s="301"/>
      <c r="C57" s="94" t="s">
        <v>594</v>
      </c>
      <c r="D57" s="8">
        <f>E30</f>
        <v>1479</v>
      </c>
      <c r="E57" s="8">
        <f>$D$57/$D$70</f>
        <v>98.6</v>
      </c>
      <c r="F57" s="8">
        <f>$D$57/$D$70</f>
        <v>98.6</v>
      </c>
      <c r="G57" s="8">
        <f>$D$57/$D$70</f>
        <v>98.6</v>
      </c>
      <c r="H57" s="8">
        <f>$D$57/$D$70</f>
        <v>98.6</v>
      </c>
      <c r="I57" s="8">
        <f>$D$57/$D$70</f>
        <v>98.6</v>
      </c>
      <c r="J57" s="116"/>
      <c r="K57" s="379" t="s">
        <v>595</v>
      </c>
      <c r="L57" s="301"/>
      <c r="M57" s="301"/>
      <c r="N57" s="134"/>
      <c r="O57" s="134"/>
      <c r="P57" s="134"/>
      <c r="Q57" s="134"/>
      <c r="R57" s="134"/>
      <c r="S57" s="37"/>
      <c r="T57" s="37"/>
      <c r="U57" s="37"/>
      <c r="V57" s="37"/>
      <c r="W57" s="37"/>
    </row>
    <row r="58" spans="1:23" x14ac:dyDescent="0.15">
      <c r="A58" s="37"/>
      <c r="B58" s="301"/>
      <c r="C58" s="94" t="s">
        <v>596</v>
      </c>
      <c r="D58" s="8">
        <f>F30</f>
        <v>1479</v>
      </c>
      <c r="E58" s="8"/>
      <c r="F58" s="8">
        <f>$D$58/$D$70</f>
        <v>98.6</v>
      </c>
      <c r="G58" s="8">
        <f>$D$58/$D$70</f>
        <v>98.6</v>
      </c>
      <c r="H58" s="8">
        <f>$D$58/$D$70</f>
        <v>98.6</v>
      </c>
      <c r="I58" s="8">
        <f>$D$58/$D$70</f>
        <v>98.6</v>
      </c>
      <c r="J58" s="116"/>
      <c r="K58" s="134"/>
      <c r="L58" s="301"/>
      <c r="M58" s="301"/>
      <c r="N58" s="134"/>
      <c r="O58" s="134"/>
      <c r="P58" s="134"/>
      <c r="Q58" s="134"/>
      <c r="R58" s="134"/>
      <c r="S58" s="37"/>
      <c r="T58" s="37"/>
      <c r="U58" s="37"/>
      <c r="V58" s="37"/>
      <c r="W58" s="37"/>
    </row>
    <row r="59" spans="1:23" x14ac:dyDescent="0.15">
      <c r="A59" s="37"/>
      <c r="B59" s="301"/>
      <c r="C59" s="94" t="s">
        <v>597</v>
      </c>
      <c r="D59" s="8">
        <f>G30</f>
        <v>1479</v>
      </c>
      <c r="E59" s="8"/>
      <c r="F59" s="8"/>
      <c r="G59" s="8">
        <f>$D$59/$D$70</f>
        <v>98.6</v>
      </c>
      <c r="H59" s="8">
        <f>$D$59/$D$70</f>
        <v>98.6</v>
      </c>
      <c r="I59" s="8">
        <f>$D$59/$D$70</f>
        <v>98.6</v>
      </c>
      <c r="J59" s="116"/>
      <c r="K59" s="134"/>
      <c r="L59" s="301"/>
      <c r="M59" s="301"/>
      <c r="N59" s="134"/>
      <c r="O59" s="134"/>
      <c r="P59" s="134"/>
      <c r="Q59" s="134"/>
      <c r="R59" s="134"/>
      <c r="S59" s="134"/>
      <c r="T59" s="37"/>
      <c r="U59" s="37"/>
      <c r="V59" s="37"/>
      <c r="W59" s="37"/>
    </row>
    <row r="60" spans="1:23" x14ac:dyDescent="0.15">
      <c r="A60" s="37"/>
      <c r="B60" s="301"/>
      <c r="C60" s="94" t="s">
        <v>598</v>
      </c>
      <c r="D60" s="8">
        <f>H30</f>
        <v>1479</v>
      </c>
      <c r="E60" s="8"/>
      <c r="F60" s="8"/>
      <c r="G60" s="8"/>
      <c r="H60" s="8">
        <f>$D$60/$D$70</f>
        <v>98.6</v>
      </c>
      <c r="I60" s="8">
        <f>$D$60/$D$70</f>
        <v>98.6</v>
      </c>
      <c r="J60" s="116"/>
      <c r="K60" s="134"/>
      <c r="L60" s="301"/>
      <c r="M60" s="301"/>
      <c r="N60" s="134"/>
      <c r="O60" s="134"/>
      <c r="P60" s="134"/>
      <c r="Q60" s="134"/>
      <c r="R60" s="134"/>
      <c r="S60" s="134"/>
      <c r="T60" s="37"/>
      <c r="U60" s="37"/>
      <c r="V60" s="37"/>
      <c r="W60" s="37"/>
    </row>
    <row r="61" spans="1:23" x14ac:dyDescent="0.15">
      <c r="A61" s="37"/>
      <c r="B61" s="301"/>
      <c r="C61" s="94" t="s">
        <v>599</v>
      </c>
      <c r="D61" s="8">
        <f>I30</f>
        <v>1479</v>
      </c>
      <c r="E61" s="8"/>
      <c r="F61" s="8"/>
      <c r="G61" s="8"/>
      <c r="H61" s="8"/>
      <c r="I61" s="8">
        <f>$D$61/$D$70</f>
        <v>98.6</v>
      </c>
      <c r="J61" s="116"/>
      <c r="K61" s="134"/>
      <c r="L61" s="301"/>
      <c r="M61" s="301"/>
      <c r="N61" s="134"/>
      <c r="O61" s="134"/>
      <c r="P61" s="134"/>
      <c r="Q61" s="134"/>
      <c r="R61" s="134"/>
      <c r="S61" s="134"/>
      <c r="T61" s="37"/>
      <c r="U61" s="37"/>
      <c r="V61" s="37"/>
      <c r="W61" s="37"/>
    </row>
    <row r="62" spans="1:23" x14ac:dyDescent="0.15">
      <c r="A62" s="37" t="s">
        <v>600</v>
      </c>
      <c r="B62" s="37"/>
      <c r="C62" s="37"/>
      <c r="D62" s="8"/>
      <c r="E62" s="180">
        <f>E53+SUM(E57:E61)</f>
        <v>378.73333333333335</v>
      </c>
      <c r="F62" s="180">
        <f>F53+SUM(F57:F61)</f>
        <v>477.33333333333331</v>
      </c>
      <c r="G62" s="180">
        <f>G53+SUM(G57:G61)</f>
        <v>575.93333333333328</v>
      </c>
      <c r="H62" s="180">
        <f>H53+SUM(H57:H61)</f>
        <v>674.5333333333333</v>
      </c>
      <c r="I62" s="180">
        <f>I53+SUM(I57:I61)</f>
        <v>773.13333333333333</v>
      </c>
      <c r="J62" s="116"/>
      <c r="K62" s="134"/>
      <c r="L62" s="301"/>
      <c r="M62" s="301"/>
      <c r="N62" s="134"/>
      <c r="O62" s="134"/>
      <c r="P62" s="134"/>
      <c r="Q62" s="134"/>
      <c r="R62" s="134"/>
      <c r="S62" s="37"/>
      <c r="T62" s="37"/>
      <c r="U62" s="37"/>
      <c r="V62" s="37"/>
      <c r="W62" s="37"/>
    </row>
    <row r="63" spans="1:23" x14ac:dyDescent="0.15">
      <c r="A63" s="37"/>
      <c r="B63" s="37"/>
      <c r="C63" s="37"/>
      <c r="D63" s="37"/>
      <c r="E63" s="37"/>
      <c r="F63" s="37"/>
      <c r="G63" s="37"/>
      <c r="H63" s="37"/>
      <c r="I63" s="37"/>
      <c r="J63" s="37"/>
      <c r="K63" s="37"/>
      <c r="L63" s="301"/>
      <c r="M63" s="301"/>
      <c r="N63" s="37"/>
      <c r="O63" s="37"/>
      <c r="P63" s="37"/>
      <c r="Q63" s="37"/>
      <c r="R63" s="37"/>
      <c r="S63" s="37"/>
      <c r="T63" s="37"/>
      <c r="U63" s="37"/>
      <c r="V63" s="37"/>
      <c r="W63" s="37"/>
    </row>
    <row r="64" spans="1:23" x14ac:dyDescent="0.15">
      <c r="A64" s="37" t="s">
        <v>601</v>
      </c>
      <c r="B64" s="172">
        <f>B39</f>
        <v>2022</v>
      </c>
      <c r="C64" s="172">
        <f>C39</f>
        <v>2023</v>
      </c>
      <c r="D64" s="172">
        <f>D39</f>
        <v>2024</v>
      </c>
      <c r="E64" s="301"/>
      <c r="F64" s="301"/>
      <c r="G64" s="37"/>
      <c r="H64" s="37"/>
      <c r="I64" s="37"/>
      <c r="J64" s="37"/>
      <c r="K64" s="37"/>
      <c r="L64" s="37"/>
      <c r="M64" s="37"/>
      <c r="N64" s="37"/>
      <c r="O64" s="134"/>
      <c r="P64" s="37"/>
      <c r="Q64" s="37"/>
      <c r="R64" s="37"/>
      <c r="S64" s="37"/>
      <c r="T64" s="37"/>
      <c r="U64" s="37"/>
      <c r="V64" s="37"/>
      <c r="W64" s="37"/>
    </row>
    <row r="65" spans="1:23" x14ac:dyDescent="0.15">
      <c r="A65" s="301"/>
      <c r="B65" s="37"/>
      <c r="C65" s="37"/>
      <c r="D65" s="37"/>
      <c r="E65" s="301"/>
      <c r="F65" s="301"/>
      <c r="G65" s="37"/>
      <c r="H65" s="37"/>
      <c r="I65" s="37"/>
      <c r="J65" s="37"/>
      <c r="K65" s="37"/>
      <c r="L65" s="37"/>
      <c r="M65" s="37"/>
      <c r="N65" s="37"/>
      <c r="O65" s="170"/>
      <c r="P65" s="37"/>
      <c r="Q65" s="37"/>
      <c r="R65" s="37"/>
      <c r="S65" s="37"/>
      <c r="T65" s="37"/>
      <c r="U65" s="37"/>
      <c r="V65" s="37"/>
      <c r="W65" s="37"/>
    </row>
    <row r="66" spans="1:23" x14ac:dyDescent="0.15">
      <c r="A66" s="37" t="s">
        <v>602</v>
      </c>
      <c r="B66" s="181">
        <f>B42</f>
        <v>3481.7</v>
      </c>
      <c r="C66" s="181">
        <f>C42</f>
        <v>3867.7</v>
      </c>
      <c r="D66" s="181">
        <f>D42</f>
        <v>4202</v>
      </c>
      <c r="E66" s="301"/>
      <c r="F66" s="301"/>
      <c r="G66" s="37"/>
      <c r="H66" s="37"/>
      <c r="I66" s="37"/>
      <c r="J66" s="37"/>
      <c r="K66" s="301" t="s">
        <v>603</v>
      </c>
      <c r="L66" s="37"/>
      <c r="M66" s="37"/>
      <c r="N66" s="37"/>
      <c r="O66" s="37"/>
      <c r="P66" s="37"/>
      <c r="Q66" s="37"/>
      <c r="R66" s="37"/>
      <c r="S66" s="37"/>
      <c r="T66" s="37"/>
      <c r="U66" s="37"/>
      <c r="V66" s="37"/>
      <c r="W66" s="37"/>
    </row>
    <row r="67" spans="1:23" x14ac:dyDescent="0.15">
      <c r="A67" s="37" t="s">
        <v>604</v>
      </c>
      <c r="B67" s="182"/>
      <c r="C67" s="182">
        <f>(B66+C66)/2</f>
        <v>3674.7</v>
      </c>
      <c r="D67" s="182">
        <f>(C66+D66)/2</f>
        <v>4034.85</v>
      </c>
      <c r="E67" s="301"/>
      <c r="F67" s="301"/>
      <c r="G67" s="183"/>
      <c r="H67" s="37"/>
      <c r="I67" s="37"/>
      <c r="J67" s="37"/>
      <c r="K67" s="37"/>
      <c r="L67" s="37"/>
      <c r="M67" s="37"/>
      <c r="N67" s="37"/>
      <c r="O67" s="37"/>
      <c r="P67" s="37"/>
      <c r="Q67" s="37"/>
      <c r="R67" s="37"/>
      <c r="S67" s="37"/>
      <c r="T67" s="37"/>
      <c r="U67" s="37"/>
      <c r="V67" s="37"/>
      <c r="W67" s="37"/>
    </row>
    <row r="68" spans="1:23" x14ac:dyDescent="0.15">
      <c r="A68" s="37" t="s">
        <v>605</v>
      </c>
      <c r="B68" s="184">
        <f>Data!E145</f>
        <v>6834.5</v>
      </c>
      <c r="C68" s="184">
        <f>Data!F145</f>
        <v>7138.1</v>
      </c>
      <c r="D68" s="184">
        <f>Data!G145</f>
        <v>7421.7</v>
      </c>
      <c r="E68" s="301"/>
      <c r="F68" s="301"/>
      <c r="G68" s="37"/>
      <c r="H68" s="37"/>
      <c r="I68" s="37"/>
      <c r="J68" s="37"/>
      <c r="K68" s="37"/>
      <c r="L68" s="37"/>
      <c r="M68" s="37"/>
      <c r="N68" s="37"/>
      <c r="O68" s="37"/>
      <c r="P68" s="37"/>
      <c r="Q68" s="37"/>
      <c r="R68" s="37"/>
      <c r="S68" s="37"/>
      <c r="T68" s="37"/>
      <c r="U68" s="37"/>
      <c r="V68" s="37"/>
      <c r="W68" s="159"/>
    </row>
    <row r="69" spans="1:23" x14ac:dyDescent="0.15">
      <c r="A69" s="37" t="s">
        <v>606</v>
      </c>
      <c r="B69" s="185"/>
      <c r="C69" s="185">
        <f>C67/C68</f>
        <v>0.514800857371009</v>
      </c>
      <c r="D69" s="185">
        <f>D67/D68</f>
        <v>0.54365576619911882</v>
      </c>
      <c r="E69" s="301"/>
      <c r="F69" s="301"/>
      <c r="G69" s="37"/>
      <c r="H69" s="37"/>
      <c r="I69" s="37"/>
      <c r="J69" s="37"/>
      <c r="K69" s="37"/>
      <c r="L69" s="37"/>
      <c r="M69" s="37"/>
      <c r="N69" s="37"/>
      <c r="O69" s="37"/>
      <c r="P69" s="37"/>
      <c r="Q69" s="37"/>
      <c r="R69" s="37"/>
      <c r="S69" s="37"/>
      <c r="T69" s="37"/>
      <c r="U69" s="37"/>
      <c r="V69" s="37"/>
      <c r="W69" s="37"/>
    </row>
    <row r="70" spans="1:23" x14ac:dyDescent="0.15">
      <c r="A70" s="37" t="s">
        <v>607</v>
      </c>
      <c r="B70" s="37"/>
      <c r="C70" s="37"/>
      <c r="D70" s="186">
        <v>15</v>
      </c>
      <c r="E70" s="37"/>
      <c r="F70" s="37"/>
      <c r="G70" s="37"/>
      <c r="H70" s="37"/>
      <c r="I70" s="37"/>
      <c r="J70" s="37"/>
      <c r="K70" s="37"/>
      <c r="L70" s="37"/>
      <c r="M70" s="37"/>
      <c r="N70" s="37"/>
      <c r="O70" s="37"/>
      <c r="P70" s="37"/>
      <c r="Q70" s="37"/>
      <c r="R70" s="37"/>
      <c r="S70" s="37"/>
      <c r="T70" s="37"/>
      <c r="U70" s="37"/>
      <c r="V70" s="37"/>
      <c r="W70" s="37"/>
    </row>
    <row r="71" spans="1:23" x14ac:dyDescent="0.15">
      <c r="A71" s="301"/>
      <c r="B71" s="37"/>
      <c r="C71" s="37"/>
      <c r="D71" s="37" t="s">
        <v>608</v>
      </c>
      <c r="E71" s="37"/>
      <c r="F71" s="37"/>
      <c r="G71" s="37"/>
      <c r="H71" s="37"/>
      <c r="I71" s="37"/>
      <c r="J71" s="37"/>
      <c r="K71" s="37"/>
      <c r="L71" s="37"/>
      <c r="M71" s="37"/>
      <c r="N71" s="37"/>
      <c r="O71" s="37"/>
      <c r="P71" s="37"/>
      <c r="Q71" s="37"/>
      <c r="R71" s="37"/>
      <c r="S71" s="37"/>
      <c r="T71" s="37"/>
      <c r="U71" s="37"/>
      <c r="V71" s="37"/>
      <c r="W71" s="37"/>
    </row>
    <row r="72" spans="1:23" x14ac:dyDescent="0.15">
      <c r="A72" s="301"/>
      <c r="B72" s="301"/>
      <c r="C72" s="301"/>
      <c r="D72" s="301"/>
      <c r="E72" s="37"/>
      <c r="F72" s="37"/>
      <c r="G72" s="37"/>
      <c r="H72" s="37"/>
      <c r="I72" s="37"/>
      <c r="J72" s="37"/>
      <c r="K72" s="37"/>
      <c r="L72" s="37"/>
      <c r="M72" s="37"/>
      <c r="N72" s="37"/>
      <c r="O72" s="37"/>
      <c r="P72" s="37"/>
      <c r="Q72" s="37"/>
      <c r="R72" s="37"/>
      <c r="S72" s="37"/>
      <c r="T72" s="37"/>
      <c r="U72" s="37"/>
      <c r="V72" s="37"/>
      <c r="W72" s="37"/>
    </row>
  </sheetData>
  <phoneticPr fontId="0" type="noConversion"/>
  <pageMargins left="0.75" right="0.75" top="1" bottom="1" header="0.5" footer="0.5"/>
  <pageSetup scale="73" orientation="portrait" r:id="rId1"/>
  <headerFooter alignWithMargins="0"/>
  <colBreaks count="1" manualBreakCount="1">
    <brk id="9"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299"/>
  <sheetViews>
    <sheetView showGridLines="0" tabSelected="1" topLeftCell="A36" zoomScale="115" zoomScaleNormal="70" workbookViewId="0">
      <selection activeCell="E124" sqref="E124"/>
    </sheetView>
  </sheetViews>
  <sheetFormatPr baseColWidth="10" defaultColWidth="9.1640625" defaultRowHeight="13" x14ac:dyDescent="0.15"/>
  <cols>
    <col min="1" max="1" width="11.6640625" style="7" customWidth="1"/>
    <col min="2" max="2" width="13.33203125" style="7" bestFit="1" customWidth="1"/>
    <col min="3" max="3" width="11.6640625" style="7" customWidth="1"/>
    <col min="4" max="4" width="13" style="7" customWidth="1"/>
    <col min="5" max="5" width="15.83203125" style="7" customWidth="1"/>
    <col min="6" max="6" width="16.83203125" style="7" bestFit="1" customWidth="1"/>
    <col min="7" max="7" width="13.6640625" style="7" bestFit="1" customWidth="1"/>
    <col min="8" max="9" width="11.6640625" style="7" customWidth="1"/>
    <col min="10" max="10" width="12.1640625" style="7" customWidth="1"/>
    <col min="11" max="13" width="11.6640625" style="7" customWidth="1"/>
    <col min="14" max="18" width="11.33203125" style="7" bestFit="1" customWidth="1"/>
    <col min="19" max="19" width="10.6640625" style="7" customWidth="1"/>
    <col min="20" max="16384" width="9.1640625" style="7"/>
  </cols>
  <sheetData>
    <row r="1" spans="1:19" x14ac:dyDescent="0.15">
      <c r="A1" s="1" t="str">
        <f>Data!A1</f>
        <v>Financial Statement Analysis Package (FSAP): Version 10.0</v>
      </c>
      <c r="B1" s="425"/>
      <c r="C1" s="425"/>
      <c r="D1" s="425"/>
      <c r="E1" s="425"/>
      <c r="F1" s="425"/>
      <c r="G1" s="425"/>
      <c r="H1" s="425"/>
      <c r="I1" s="425"/>
      <c r="J1" s="462"/>
      <c r="K1" s="301"/>
      <c r="L1" s="334"/>
      <c r="M1" s="335"/>
      <c r="N1" s="335"/>
      <c r="O1" s="335"/>
      <c r="P1" s="336"/>
      <c r="Q1" s="301"/>
      <c r="R1" s="301"/>
      <c r="S1" s="301"/>
    </row>
    <row r="2" spans="1:19" x14ac:dyDescent="0.15">
      <c r="A2" s="5" t="str">
        <f>Data!A2</f>
        <v>Financial Reporting, Financial Statement Analysis, and Valuation: A Strategic Perspective, 10th Edition</v>
      </c>
      <c r="B2" s="427"/>
      <c r="C2" s="427"/>
      <c r="D2" s="427"/>
      <c r="E2" s="427"/>
      <c r="F2" s="427"/>
      <c r="G2" s="427"/>
      <c r="H2" s="427"/>
      <c r="I2" s="427"/>
      <c r="J2" s="374"/>
      <c r="K2" s="301"/>
      <c r="L2" s="5" t="s">
        <v>2</v>
      </c>
      <c r="M2" s="338"/>
      <c r="N2" s="338"/>
      <c r="O2" s="338"/>
      <c r="P2" s="339"/>
      <c r="Q2" s="301"/>
      <c r="R2" s="301"/>
      <c r="S2" s="301"/>
    </row>
    <row r="3" spans="1:19" ht="14" thickBot="1" x14ac:dyDescent="0.2">
      <c r="A3" s="6" t="s">
        <v>3</v>
      </c>
      <c r="B3" s="390"/>
      <c r="C3" s="390"/>
      <c r="D3" s="390"/>
      <c r="E3" s="390"/>
      <c r="F3" s="390"/>
      <c r="G3" s="390"/>
      <c r="H3" s="390"/>
      <c r="I3" s="390"/>
      <c r="J3" s="391"/>
      <c r="K3" s="301"/>
      <c r="L3" s="360"/>
      <c r="M3" s="340"/>
      <c r="N3" s="340"/>
      <c r="O3" s="340"/>
      <c r="P3" s="341"/>
      <c r="Q3" s="301"/>
      <c r="R3" s="301"/>
      <c r="S3" s="301"/>
    </row>
    <row r="4" spans="1:19" x14ac:dyDescent="0.15">
      <c r="A4" s="301"/>
      <c r="B4" s="301"/>
      <c r="C4" s="301"/>
      <c r="D4" s="301"/>
      <c r="E4" s="301"/>
      <c r="F4" s="301"/>
      <c r="G4" s="301"/>
      <c r="H4" s="301"/>
      <c r="I4" s="301"/>
      <c r="J4" s="301"/>
      <c r="K4" s="301"/>
      <c r="L4" s="15" t="s">
        <v>4</v>
      </c>
      <c r="M4" s="15"/>
      <c r="N4" s="15"/>
      <c r="O4" s="15"/>
      <c r="P4" s="15"/>
      <c r="Q4" s="15"/>
      <c r="R4" s="15"/>
      <c r="S4" s="15"/>
    </row>
    <row r="6" spans="1:19" x14ac:dyDescent="0.15">
      <c r="A6" s="8" t="s">
        <v>411</v>
      </c>
      <c r="B6" s="301"/>
      <c r="C6" s="301"/>
      <c r="D6" s="301"/>
      <c r="E6" s="301"/>
      <c r="F6" s="301"/>
      <c r="G6" s="301"/>
      <c r="H6" s="301"/>
      <c r="I6" s="301"/>
      <c r="J6" s="301"/>
      <c r="K6" s="301"/>
      <c r="L6" s="37" t="s">
        <v>609</v>
      </c>
      <c r="M6" s="301"/>
      <c r="N6" s="301"/>
      <c r="O6" s="301"/>
      <c r="P6" s="301"/>
      <c r="Q6" s="301"/>
      <c r="R6" s="301"/>
      <c r="S6" s="301"/>
    </row>
    <row r="7" spans="1:19" x14ac:dyDescent="0.15">
      <c r="A7" s="8"/>
      <c r="B7" s="301"/>
      <c r="C7" s="301"/>
      <c r="D7" s="301"/>
      <c r="E7" s="301"/>
      <c r="F7" s="301"/>
      <c r="G7" s="301"/>
      <c r="H7" s="301"/>
      <c r="I7" s="301"/>
      <c r="J7" s="301"/>
      <c r="K7" s="301"/>
      <c r="L7" s="301" t="s">
        <v>610</v>
      </c>
      <c r="M7" s="301"/>
      <c r="N7" s="301"/>
      <c r="O7" s="301"/>
      <c r="P7" s="301"/>
      <c r="Q7" s="301"/>
      <c r="R7" s="301"/>
      <c r="S7" s="301"/>
    </row>
    <row r="8" spans="1:19" x14ac:dyDescent="0.15">
      <c r="A8" s="8" t="s">
        <v>611</v>
      </c>
      <c r="B8" s="301"/>
      <c r="C8" s="301"/>
      <c r="D8" s="301"/>
      <c r="E8" s="301"/>
      <c r="F8" s="301"/>
      <c r="G8" s="301"/>
      <c r="H8" s="301"/>
      <c r="I8" s="301"/>
      <c r="J8" s="301"/>
      <c r="K8" s="301"/>
      <c r="L8" s="301"/>
      <c r="M8" s="301"/>
      <c r="N8" s="301"/>
      <c r="O8" s="301"/>
      <c r="P8" s="301"/>
      <c r="Q8" s="301"/>
      <c r="R8" s="301"/>
      <c r="S8" s="301"/>
    </row>
    <row r="9" spans="1:19" x14ac:dyDescent="0.15">
      <c r="A9" s="463" t="s">
        <v>612</v>
      </c>
      <c r="B9" s="464"/>
      <c r="C9" s="464"/>
      <c r="D9" s="464"/>
      <c r="E9" s="465"/>
      <c r="F9" s="466">
        <f ca="1">E91</f>
        <v>536.63041260950831</v>
      </c>
      <c r="G9" s="301"/>
      <c r="H9" s="301"/>
      <c r="I9" s="301"/>
      <c r="J9" s="301"/>
      <c r="K9" s="301"/>
      <c r="L9" s="301" t="s">
        <v>613</v>
      </c>
      <c r="M9" s="301"/>
      <c r="N9" s="301"/>
      <c r="O9" s="301"/>
      <c r="P9" s="301"/>
      <c r="Q9" s="301"/>
      <c r="R9" s="301"/>
      <c r="S9" s="301"/>
    </row>
    <row r="10" spans="1:19" x14ac:dyDescent="0.15">
      <c r="A10" s="467" t="s">
        <v>614</v>
      </c>
      <c r="B10" s="468"/>
      <c r="C10" s="468"/>
      <c r="D10" s="468"/>
      <c r="E10" s="469"/>
      <c r="F10" s="470">
        <f ca="1">E121</f>
        <v>536.63041260950808</v>
      </c>
      <c r="G10" s="301"/>
      <c r="H10" s="301"/>
      <c r="I10" s="301"/>
      <c r="J10" s="301"/>
      <c r="K10" s="301"/>
      <c r="L10" s="301" t="s">
        <v>613</v>
      </c>
      <c r="M10" s="301"/>
      <c r="N10" s="301"/>
      <c r="O10" s="301"/>
      <c r="P10" s="301"/>
      <c r="Q10" s="301"/>
      <c r="R10" s="301"/>
      <c r="S10" s="301"/>
    </row>
    <row r="11" spans="1:19" x14ac:dyDescent="0.15">
      <c r="A11" s="467" t="s">
        <v>615</v>
      </c>
      <c r="B11" s="468"/>
      <c r="C11" s="468"/>
      <c r="D11" s="468"/>
      <c r="E11" s="469"/>
      <c r="F11" s="470">
        <f ca="1">E178</f>
        <v>536.63041260950968</v>
      </c>
      <c r="G11" s="301"/>
      <c r="H11" s="301"/>
      <c r="I11" s="301"/>
      <c r="J11" s="301"/>
      <c r="K11" s="301"/>
      <c r="L11" s="301" t="s">
        <v>613</v>
      </c>
      <c r="M11" s="301"/>
      <c r="N11" s="301"/>
      <c r="O11" s="301"/>
      <c r="P11" s="301"/>
      <c r="Q11" s="301"/>
      <c r="R11" s="301"/>
      <c r="S11" s="301"/>
    </row>
    <row r="12" spans="1:19" x14ac:dyDescent="0.15">
      <c r="A12" s="467" t="s">
        <v>616</v>
      </c>
      <c r="B12" s="468"/>
      <c r="C12" s="468"/>
      <c r="D12" s="468"/>
      <c r="E12" s="469"/>
      <c r="F12" s="470">
        <f ca="1">E239</f>
        <v>536.63041260950968</v>
      </c>
      <c r="G12" s="301"/>
      <c r="H12" s="301"/>
      <c r="I12" s="301"/>
      <c r="J12" s="301"/>
      <c r="K12" s="301"/>
      <c r="L12" s="301" t="s">
        <v>613</v>
      </c>
      <c r="M12" s="301"/>
      <c r="N12" s="301"/>
      <c r="O12" s="301"/>
      <c r="P12" s="301"/>
      <c r="Q12" s="301"/>
      <c r="R12" s="301"/>
      <c r="S12" s="301"/>
    </row>
    <row r="13" spans="1:19" x14ac:dyDescent="0.15">
      <c r="A13" s="471" t="s">
        <v>617</v>
      </c>
      <c r="B13" s="472"/>
      <c r="C13" s="472"/>
      <c r="D13" s="472"/>
      <c r="E13" s="473"/>
      <c r="F13" s="474">
        <f ca="1">E276</f>
        <v>545.91797381005301</v>
      </c>
      <c r="G13" s="301"/>
      <c r="H13" s="301"/>
      <c r="I13" s="301"/>
      <c r="J13" s="301"/>
      <c r="K13" s="301"/>
      <c r="L13" s="301" t="s">
        <v>613</v>
      </c>
      <c r="M13" s="301"/>
      <c r="N13" s="301"/>
      <c r="O13" s="301"/>
      <c r="P13" s="301"/>
      <c r="Q13" s="301"/>
      <c r="R13" s="301"/>
      <c r="S13" s="301"/>
    </row>
    <row r="14" spans="1:19" x14ac:dyDescent="0.15">
      <c r="A14" s="125" t="s">
        <v>618</v>
      </c>
      <c r="B14" s="299"/>
      <c r="C14" s="299"/>
      <c r="D14" s="299"/>
      <c r="E14" s="475"/>
      <c r="F14" s="301"/>
      <c r="G14" s="301"/>
      <c r="H14" s="301"/>
      <c r="I14" s="301"/>
      <c r="J14" s="301"/>
      <c r="K14" s="301"/>
      <c r="L14" s="301"/>
      <c r="M14" s="301"/>
      <c r="N14" s="301"/>
      <c r="O14" s="301"/>
      <c r="P14" s="301"/>
      <c r="Q14" s="301"/>
      <c r="R14" s="301"/>
      <c r="S14" s="301"/>
    </row>
    <row r="15" spans="1:19" x14ac:dyDescent="0.15">
      <c r="A15" s="251" t="s">
        <v>619</v>
      </c>
      <c r="B15" s="301"/>
      <c r="C15" s="301"/>
      <c r="D15" s="301"/>
      <c r="E15" s="301"/>
      <c r="F15" s="301"/>
      <c r="G15" s="301"/>
      <c r="H15" s="301"/>
      <c r="I15" s="301"/>
      <c r="J15" s="301"/>
      <c r="K15" s="301"/>
      <c r="L15" s="301"/>
      <c r="M15" s="301"/>
      <c r="N15" s="301"/>
      <c r="O15" s="301"/>
      <c r="P15" s="301"/>
      <c r="Q15" s="301"/>
      <c r="R15" s="301"/>
      <c r="S15" s="301"/>
    </row>
    <row r="17" spans="1:12" ht="14" thickBot="1" x14ac:dyDescent="0.2">
      <c r="A17" s="301"/>
      <c r="B17" s="301"/>
      <c r="C17" s="301"/>
      <c r="D17" s="301"/>
      <c r="E17" s="301"/>
      <c r="F17" s="301"/>
      <c r="G17" s="301"/>
      <c r="H17" s="301"/>
      <c r="I17" s="301"/>
      <c r="J17" s="301"/>
      <c r="K17" s="301"/>
      <c r="L17" s="301"/>
    </row>
    <row r="18" spans="1:12" ht="14" thickTop="1" x14ac:dyDescent="0.15">
      <c r="A18" s="309" t="s">
        <v>414</v>
      </c>
      <c r="B18" s="476"/>
      <c r="C18" s="187" t="s">
        <v>620</v>
      </c>
      <c r="D18" s="188"/>
      <c r="E18" s="188"/>
      <c r="F18" s="188"/>
      <c r="G18" s="188"/>
      <c r="H18" s="188" t="s">
        <v>621</v>
      </c>
      <c r="I18" s="188"/>
      <c r="J18" s="188"/>
      <c r="K18" s="301"/>
      <c r="L18" s="301"/>
    </row>
    <row r="19" spans="1:12" x14ac:dyDescent="0.15">
      <c r="A19" s="310" t="str">
        <f>Data!$A$9</f>
        <v>Analyst Name:</v>
      </c>
      <c r="B19" s="477"/>
      <c r="C19" s="84" t="str">
        <f>Data!$B$9</f>
        <v>Durdona Karimova &amp; Vincenzo Giordano</v>
      </c>
      <c r="D19" s="85"/>
      <c r="E19" s="429"/>
      <c r="F19" s="431"/>
      <c r="G19" s="431"/>
      <c r="H19" s="431"/>
      <c r="I19" s="431"/>
      <c r="J19" s="431"/>
      <c r="K19" s="301"/>
      <c r="L19" s="301"/>
    </row>
    <row r="20" spans="1:12" x14ac:dyDescent="0.15">
      <c r="A20" s="310" t="str">
        <f>Data!$A$10</f>
        <v>Company Name:</v>
      </c>
      <c r="B20" s="478"/>
      <c r="C20" s="84" t="str">
        <f>Data!$B$10</f>
        <v>L'Oreal</v>
      </c>
      <c r="D20" s="429"/>
      <c r="E20" s="436"/>
      <c r="F20" s="431"/>
      <c r="G20" s="431"/>
      <c r="H20" s="431"/>
      <c r="I20" s="431"/>
      <c r="J20" s="431"/>
      <c r="K20" s="301"/>
      <c r="L20" s="301"/>
    </row>
    <row r="21" spans="1:12" ht="14" thickBot="1" x14ac:dyDescent="0.2">
      <c r="A21" s="35"/>
      <c r="B21" s="35"/>
      <c r="C21" s="35"/>
      <c r="D21" s="35"/>
      <c r="E21" s="35"/>
      <c r="F21" s="35"/>
      <c r="G21" s="35"/>
      <c r="H21" s="35"/>
      <c r="I21" s="35"/>
      <c r="J21" s="313"/>
      <c r="K21" s="301"/>
      <c r="L21" s="301"/>
    </row>
    <row r="22" spans="1:12" ht="14" thickTop="1" x14ac:dyDescent="0.15">
      <c r="A22" s="157" t="s">
        <v>622</v>
      </c>
      <c r="B22" s="157"/>
      <c r="C22" s="157"/>
      <c r="D22" s="189"/>
      <c r="E22" s="190"/>
      <c r="F22" s="190"/>
      <c r="G22" s="190"/>
      <c r="H22" s="190"/>
      <c r="I22" s="190"/>
      <c r="J22" s="190"/>
      <c r="K22" s="301"/>
      <c r="L22" s="301"/>
    </row>
    <row r="23" spans="1:12" x14ac:dyDescent="0.15">
      <c r="A23" s="35"/>
      <c r="B23" s="35"/>
      <c r="C23" s="35"/>
      <c r="D23" s="35"/>
      <c r="E23" s="35"/>
      <c r="F23" s="35"/>
      <c r="G23" s="35"/>
      <c r="H23" s="35"/>
      <c r="I23" s="35"/>
      <c r="J23" s="35"/>
      <c r="K23" s="301"/>
      <c r="L23" s="37" t="s">
        <v>623</v>
      </c>
    </row>
    <row r="24" spans="1:12" x14ac:dyDescent="0.15">
      <c r="A24" s="35" t="s">
        <v>624</v>
      </c>
      <c r="B24" s="35"/>
      <c r="C24" s="35"/>
      <c r="D24" s="35"/>
      <c r="E24" s="301"/>
      <c r="F24" s="192">
        <f>Data!G150</f>
        <v>341.85</v>
      </c>
      <c r="G24" s="35"/>
      <c r="H24" s="35"/>
      <c r="I24" s="35"/>
      <c r="J24" s="35"/>
      <c r="K24" s="301"/>
      <c r="L24" s="301" t="s">
        <v>625</v>
      </c>
    </row>
    <row r="25" spans="1:12" x14ac:dyDescent="0.15">
      <c r="A25" s="35" t="s">
        <v>626</v>
      </c>
      <c r="B25" s="35"/>
      <c r="C25" s="35"/>
      <c r="D25" s="35"/>
      <c r="E25" s="35"/>
      <c r="F25" s="253">
        <v>534.31202099999996</v>
      </c>
      <c r="G25" s="35"/>
      <c r="H25" s="35"/>
      <c r="I25" s="35"/>
      <c r="J25" s="35"/>
      <c r="K25" s="301"/>
      <c r="L25" s="301" t="s">
        <v>627</v>
      </c>
    </row>
    <row r="26" spans="1:12" x14ac:dyDescent="0.15">
      <c r="A26" s="35" t="s">
        <v>628</v>
      </c>
      <c r="B26" s="35"/>
      <c r="C26" s="35"/>
      <c r="D26" s="35"/>
      <c r="E26" s="35"/>
      <c r="F26" s="193">
        <f>F24*F25</f>
        <v>182654.56437884999</v>
      </c>
      <c r="G26" s="35"/>
      <c r="H26" s="35"/>
      <c r="I26" s="35"/>
      <c r="J26" s="35"/>
      <c r="K26" s="301"/>
      <c r="L26" s="301" t="s">
        <v>629</v>
      </c>
    </row>
    <row r="27" spans="1:12" x14ac:dyDescent="0.15">
      <c r="A27" s="35"/>
      <c r="B27" s="35"/>
      <c r="C27" s="35"/>
      <c r="D27" s="35"/>
      <c r="E27" s="35"/>
      <c r="F27" s="194"/>
      <c r="G27" s="35"/>
      <c r="H27" s="35"/>
      <c r="I27" s="35"/>
      <c r="J27" s="35"/>
      <c r="K27" s="301"/>
      <c r="L27" s="301"/>
    </row>
    <row r="28" spans="1:12" x14ac:dyDescent="0.15">
      <c r="A28" s="35" t="s">
        <v>630</v>
      </c>
      <c r="B28" s="35"/>
      <c r="C28" s="35"/>
      <c r="D28" s="35"/>
      <c r="E28" s="35"/>
      <c r="F28" s="195">
        <f>Forecasts!$J$15</f>
        <v>0.04</v>
      </c>
      <c r="G28" s="35"/>
      <c r="H28" s="35"/>
      <c r="I28" s="35"/>
      <c r="J28" s="35"/>
      <c r="K28" s="301"/>
      <c r="L28" s="37" t="s">
        <v>631</v>
      </c>
    </row>
    <row r="29" spans="1:12" x14ac:dyDescent="0.15">
      <c r="A29" s="35" t="s">
        <v>632</v>
      </c>
      <c r="B29" s="35"/>
      <c r="C29" s="35"/>
      <c r="D29" s="35"/>
      <c r="E29" s="35"/>
      <c r="F29" s="196">
        <v>0.04</v>
      </c>
      <c r="G29" s="35"/>
      <c r="H29" s="35"/>
      <c r="I29" s="35"/>
      <c r="J29" s="35"/>
      <c r="K29" s="301"/>
      <c r="L29" s="301" t="s">
        <v>633</v>
      </c>
    </row>
    <row r="30" spans="1:12" x14ac:dyDescent="0.15">
      <c r="A30" s="35" t="s">
        <v>634</v>
      </c>
      <c r="B30" s="35"/>
      <c r="C30" s="35"/>
      <c r="D30" s="35"/>
      <c r="E30" s="35"/>
      <c r="F30" s="35"/>
      <c r="G30" s="35"/>
      <c r="H30" s="35"/>
      <c r="I30" s="35"/>
      <c r="J30" s="35"/>
      <c r="K30" s="301"/>
      <c r="L30" s="301"/>
    </row>
    <row r="31" spans="1:12" x14ac:dyDescent="0.15">
      <c r="A31" s="301"/>
      <c r="B31" s="35"/>
      <c r="C31" s="35"/>
      <c r="D31" s="35"/>
      <c r="E31" s="35"/>
      <c r="F31" s="35"/>
      <c r="G31" s="35"/>
      <c r="H31" s="35"/>
      <c r="I31" s="35"/>
      <c r="J31" s="35"/>
      <c r="K31" s="301"/>
      <c r="L31" s="301"/>
    </row>
    <row r="32" spans="1:12" x14ac:dyDescent="0.15">
      <c r="A32" s="35" t="s">
        <v>635</v>
      </c>
      <c r="B32" s="35"/>
      <c r="C32" s="35"/>
      <c r="D32" s="35"/>
      <c r="E32" s="35"/>
      <c r="F32" s="35"/>
      <c r="G32" s="35"/>
      <c r="H32" s="35"/>
      <c r="I32" s="35"/>
      <c r="J32" s="35"/>
      <c r="K32" s="301"/>
      <c r="L32" s="37" t="s">
        <v>636</v>
      </c>
    </row>
    <row r="33" spans="1:12" x14ac:dyDescent="0.15">
      <c r="A33" s="35" t="s">
        <v>637</v>
      </c>
      <c r="B33" s="35"/>
      <c r="C33" s="35"/>
      <c r="D33" s="35"/>
      <c r="E33" s="35"/>
      <c r="F33" s="197">
        <v>0.5</v>
      </c>
      <c r="G33" s="35"/>
      <c r="H33" s="35"/>
      <c r="I33" s="35"/>
      <c r="J33" s="35"/>
      <c r="K33" s="301"/>
      <c r="L33" s="301" t="s">
        <v>638</v>
      </c>
    </row>
    <row r="34" spans="1:12" x14ac:dyDescent="0.15">
      <c r="A34" s="35" t="s">
        <v>639</v>
      </c>
      <c r="B34" s="35"/>
      <c r="C34" s="35"/>
      <c r="D34" s="35"/>
      <c r="E34" s="35"/>
      <c r="F34" s="90">
        <v>0.03</v>
      </c>
      <c r="G34" s="35"/>
      <c r="H34" s="35"/>
      <c r="I34" s="35"/>
      <c r="J34" s="35"/>
      <c r="K34" s="301"/>
      <c r="L34" s="301" t="s">
        <v>640</v>
      </c>
    </row>
    <row r="35" spans="1:12" x14ac:dyDescent="0.15">
      <c r="A35" s="35" t="s">
        <v>641</v>
      </c>
      <c r="B35" s="35"/>
      <c r="C35" s="35"/>
      <c r="D35" s="35"/>
      <c r="E35" s="35"/>
      <c r="F35" s="90">
        <v>0.06</v>
      </c>
      <c r="G35" s="35"/>
      <c r="H35" s="35"/>
      <c r="I35" s="35"/>
      <c r="J35" s="35"/>
      <c r="K35" s="301"/>
      <c r="L35" s="301" t="s">
        <v>642</v>
      </c>
    </row>
    <row r="36" spans="1:12" x14ac:dyDescent="0.15">
      <c r="A36" s="35" t="s">
        <v>643</v>
      </c>
      <c r="B36" s="35"/>
      <c r="C36" s="35"/>
      <c r="D36" s="35"/>
      <c r="E36" s="35"/>
      <c r="F36" s="198">
        <f>F34+F33*F35</f>
        <v>0.06</v>
      </c>
      <c r="G36" s="35"/>
      <c r="H36" s="35"/>
      <c r="I36" s="35"/>
      <c r="J36" s="35"/>
      <c r="K36" s="301"/>
      <c r="L36" s="301" t="s">
        <v>644</v>
      </c>
    </row>
    <row r="37" spans="1:12" x14ac:dyDescent="0.15">
      <c r="A37" s="35"/>
      <c r="B37" s="35"/>
      <c r="C37" s="35"/>
      <c r="D37" s="35"/>
      <c r="E37" s="35"/>
      <c r="F37" s="35"/>
      <c r="G37" s="35"/>
      <c r="H37" s="35"/>
      <c r="I37" s="35"/>
      <c r="J37" s="35"/>
      <c r="K37" s="301"/>
      <c r="L37" s="301"/>
    </row>
    <row r="38" spans="1:12" x14ac:dyDescent="0.15">
      <c r="A38" s="35" t="s">
        <v>645</v>
      </c>
      <c r="B38" s="35"/>
      <c r="C38" s="35"/>
      <c r="D38" s="35"/>
      <c r="E38" s="35"/>
      <c r="F38" s="35"/>
      <c r="G38" s="35"/>
      <c r="H38" s="35"/>
      <c r="I38" s="35"/>
      <c r="J38" s="35"/>
      <c r="K38" s="301"/>
      <c r="L38" s="37" t="s">
        <v>646</v>
      </c>
    </row>
    <row r="39" spans="1:12" x14ac:dyDescent="0.15">
      <c r="A39" s="35" t="s">
        <v>647</v>
      </c>
      <c r="B39" s="35"/>
      <c r="C39" s="35"/>
      <c r="D39" s="35"/>
      <c r="E39" s="35"/>
      <c r="F39" s="254">
        <f>Forecasts!D190+Forecasts!D193+Forecasts!D211</f>
        <v>6568.2000000000007</v>
      </c>
      <c r="G39" s="35"/>
      <c r="H39" s="35"/>
      <c r="I39" s="35"/>
      <c r="J39" s="35"/>
      <c r="K39" s="301"/>
      <c r="L39" s="301" t="s">
        <v>648</v>
      </c>
    </row>
    <row r="40" spans="1:12" x14ac:dyDescent="0.15">
      <c r="A40" s="35" t="s">
        <v>649</v>
      </c>
      <c r="B40" s="35"/>
      <c r="C40" s="35"/>
      <c r="D40" s="35"/>
      <c r="E40" s="35"/>
      <c r="F40" s="285">
        <f>-Forecasts!E69</f>
        <v>4.0000000000000001E-3</v>
      </c>
      <c r="G40" s="35"/>
      <c r="H40" s="35"/>
      <c r="I40" s="35"/>
      <c r="J40" s="35"/>
      <c r="K40" s="301"/>
      <c r="L40" s="301" t="s">
        <v>650</v>
      </c>
    </row>
    <row r="41" spans="1:12" x14ac:dyDescent="0.15">
      <c r="A41" s="35" t="s">
        <v>651</v>
      </c>
      <c r="B41" s="35"/>
      <c r="C41" s="35"/>
      <c r="D41" s="35"/>
      <c r="E41" s="35"/>
      <c r="F41" s="255">
        <f>Forecasts!E85</f>
        <v>-0.25</v>
      </c>
      <c r="G41" s="35"/>
      <c r="H41" s="35"/>
      <c r="I41" s="35"/>
      <c r="J41" s="35"/>
      <c r="K41" s="301"/>
      <c r="L41" s="301" t="s">
        <v>652</v>
      </c>
    </row>
    <row r="42" spans="1:12" x14ac:dyDescent="0.15">
      <c r="A42" s="35" t="s">
        <v>653</v>
      </c>
      <c r="B42" s="35"/>
      <c r="C42" s="35"/>
      <c r="D42" s="35"/>
      <c r="E42" s="35"/>
      <c r="F42" s="200">
        <f>F40*(1+F41)</f>
        <v>3.0000000000000001E-3</v>
      </c>
      <c r="G42" s="35"/>
      <c r="H42" s="35"/>
      <c r="I42" s="35"/>
      <c r="J42" s="35"/>
      <c r="K42" s="301"/>
      <c r="L42" s="301" t="s">
        <v>654</v>
      </c>
    </row>
    <row r="43" spans="1:12" x14ac:dyDescent="0.15">
      <c r="A43" s="35"/>
      <c r="B43" s="35"/>
      <c r="C43" s="35"/>
      <c r="D43" s="35"/>
      <c r="E43" s="35"/>
      <c r="F43" s="303"/>
      <c r="G43" s="35"/>
      <c r="H43" s="35"/>
      <c r="I43" s="35"/>
      <c r="J43" s="35"/>
      <c r="K43" s="301"/>
      <c r="L43" s="301"/>
    </row>
    <row r="44" spans="1:12" x14ac:dyDescent="0.15">
      <c r="A44" s="305" t="s">
        <v>655</v>
      </c>
      <c r="B44" s="94"/>
      <c r="C44" s="94"/>
      <c r="D44" s="94"/>
      <c r="E44" s="94"/>
      <c r="F44" s="94"/>
      <c r="G44" s="305"/>
      <c r="H44" s="35"/>
      <c r="I44" s="35"/>
      <c r="J44" s="35"/>
      <c r="K44" s="301"/>
      <c r="L44" s="37" t="s">
        <v>656</v>
      </c>
    </row>
    <row r="45" spans="1:12" x14ac:dyDescent="0.15">
      <c r="A45" s="305" t="s">
        <v>657</v>
      </c>
      <c r="B45" s="301"/>
      <c r="C45" s="304"/>
      <c r="D45" s="304"/>
      <c r="E45" s="304"/>
      <c r="F45" s="306">
        <f>Forecasts!D196+Forecasts!D199+Forecasts!D214+Forecasts!D217</f>
        <v>3765.3999999999996</v>
      </c>
      <c r="G45" s="305"/>
      <c r="H45" s="64"/>
      <c r="I45" s="35"/>
      <c r="J45" s="35"/>
      <c r="K45" s="301"/>
      <c r="L45" s="301" t="s">
        <v>658</v>
      </c>
    </row>
    <row r="46" spans="1:12" x14ac:dyDescent="0.15">
      <c r="A46" s="305" t="s">
        <v>649</v>
      </c>
      <c r="B46" s="301"/>
      <c r="C46" s="303"/>
      <c r="D46" s="303"/>
      <c r="E46" s="303"/>
      <c r="F46" s="307">
        <f>-Forecasts!E75*((Forecasts!D196+Forecasts!D214)/Valuation!F45)-Forecasts!E72*((Forecasts!D199+Forecasts!D217)/Valuation!F45)</f>
        <v>6.2299144845169184E-3</v>
      </c>
      <c r="G46" s="305"/>
      <c r="H46" s="64"/>
      <c r="I46" s="35"/>
      <c r="J46" s="35"/>
      <c r="K46" s="301"/>
      <c r="L46" s="301" t="s">
        <v>659</v>
      </c>
    </row>
    <row r="47" spans="1:12" x14ac:dyDescent="0.15">
      <c r="A47" s="305" t="s">
        <v>651</v>
      </c>
      <c r="B47" s="301"/>
      <c r="C47" s="131"/>
      <c r="D47" s="131"/>
      <c r="E47" s="131"/>
      <c r="F47" s="308">
        <f>Forecasts!E85</f>
        <v>-0.25</v>
      </c>
      <c r="G47" s="305"/>
      <c r="H47" s="64"/>
      <c r="I47" s="35"/>
      <c r="J47" s="35"/>
      <c r="K47" s="301"/>
      <c r="L47" s="301" t="s">
        <v>660</v>
      </c>
    </row>
    <row r="48" spans="1:12" x14ac:dyDescent="0.15">
      <c r="A48" s="305" t="s">
        <v>653</v>
      </c>
      <c r="B48" s="301"/>
      <c r="C48" s="303"/>
      <c r="D48" s="303"/>
      <c r="E48" s="303"/>
      <c r="F48" s="200">
        <f>F46*(1+F47)</f>
        <v>4.6724358633876886E-3</v>
      </c>
      <c r="G48" s="305"/>
      <c r="H48" s="35"/>
      <c r="I48" s="35"/>
      <c r="J48" s="35"/>
      <c r="K48" s="301"/>
      <c r="L48" s="301" t="s">
        <v>661</v>
      </c>
    </row>
    <row r="49" spans="1:13" x14ac:dyDescent="0.15">
      <c r="A49" s="35"/>
      <c r="B49" s="35"/>
      <c r="C49" s="35"/>
      <c r="D49" s="35"/>
      <c r="E49" s="35"/>
      <c r="F49" s="303"/>
      <c r="G49" s="35"/>
      <c r="H49" s="35"/>
      <c r="I49" s="35"/>
      <c r="J49" s="35"/>
      <c r="K49" s="301"/>
      <c r="L49" s="301"/>
      <c r="M49" s="301"/>
    </row>
    <row r="50" spans="1:13" x14ac:dyDescent="0.15">
      <c r="A50" s="35" t="s">
        <v>662</v>
      </c>
      <c r="B50" s="35"/>
      <c r="C50" s="35"/>
      <c r="D50" s="35"/>
      <c r="E50" s="35"/>
      <c r="F50" s="35"/>
      <c r="G50" s="35"/>
      <c r="H50" s="35"/>
      <c r="I50" s="35"/>
      <c r="J50" s="35"/>
      <c r="K50" s="301"/>
      <c r="L50" s="37" t="s">
        <v>663</v>
      </c>
      <c r="M50" s="301"/>
    </row>
    <row r="51" spans="1:13" x14ac:dyDescent="0.15">
      <c r="A51" s="35" t="s">
        <v>664</v>
      </c>
      <c r="B51" s="35"/>
      <c r="C51" s="35"/>
      <c r="D51" s="35"/>
      <c r="E51" s="35"/>
      <c r="F51" s="199">
        <f>Forecasts!D231</f>
        <v>0</v>
      </c>
      <c r="G51" s="35"/>
      <c r="H51" s="35"/>
      <c r="I51" s="35"/>
      <c r="J51" s="35"/>
      <c r="K51" s="301"/>
      <c r="L51" s="301" t="s">
        <v>665</v>
      </c>
      <c r="M51" s="301"/>
    </row>
    <row r="52" spans="1:13" x14ac:dyDescent="0.15">
      <c r="A52" s="35" t="s">
        <v>666</v>
      </c>
      <c r="B52" s="35"/>
      <c r="C52" s="35"/>
      <c r="D52" s="35"/>
      <c r="E52" s="35"/>
      <c r="F52" s="199">
        <f>0</f>
        <v>0</v>
      </c>
      <c r="G52" s="35"/>
      <c r="H52" s="35"/>
      <c r="I52" s="35"/>
      <c r="J52" s="35"/>
      <c r="K52" s="301"/>
      <c r="L52" s="301" t="s">
        <v>667</v>
      </c>
      <c r="M52" s="301"/>
    </row>
    <row r="53" spans="1:13" x14ac:dyDescent="0.15">
      <c r="A53" s="35" t="s">
        <v>668</v>
      </c>
      <c r="B53" s="35"/>
      <c r="C53" s="35"/>
      <c r="D53" s="35"/>
      <c r="E53" s="35"/>
      <c r="F53" s="198">
        <f>0</f>
        <v>0</v>
      </c>
      <c r="G53" s="35"/>
      <c r="H53" s="35"/>
      <c r="I53" s="35"/>
      <c r="J53" s="35"/>
      <c r="K53" s="301"/>
      <c r="L53" s="301" t="s">
        <v>669</v>
      </c>
      <c r="M53" s="301"/>
    </row>
    <row r="54" spans="1:13" x14ac:dyDescent="0.15">
      <c r="A54" s="35"/>
      <c r="B54" s="35"/>
      <c r="C54" s="35"/>
      <c r="D54" s="35"/>
      <c r="E54" s="35"/>
      <c r="F54" s="293"/>
      <c r="G54" s="35"/>
      <c r="H54" s="35"/>
      <c r="I54" s="35"/>
      <c r="J54" s="35"/>
      <c r="K54" s="301"/>
      <c r="L54" s="301"/>
      <c r="M54" s="301"/>
    </row>
    <row r="55" spans="1:13" x14ac:dyDescent="0.15">
      <c r="A55" s="35" t="s">
        <v>670</v>
      </c>
      <c r="B55" s="35"/>
      <c r="C55" s="35"/>
      <c r="D55" s="35"/>
      <c r="E55" s="35"/>
      <c r="F55" s="35"/>
      <c r="G55" s="35"/>
      <c r="H55" s="35"/>
      <c r="I55" s="35"/>
      <c r="J55" s="35"/>
      <c r="K55" s="301"/>
      <c r="L55" s="37" t="s">
        <v>671</v>
      </c>
      <c r="M55" s="301"/>
    </row>
    <row r="56" spans="1:13" x14ac:dyDescent="0.15">
      <c r="A56" s="35" t="s">
        <v>672</v>
      </c>
      <c r="B56" s="35"/>
      <c r="C56" s="35"/>
      <c r="D56" s="35"/>
      <c r="E56" s="35"/>
      <c r="F56" s="294">
        <f>Forecasts!D250</f>
        <v>4.5</v>
      </c>
      <c r="G56" s="35"/>
      <c r="H56" s="35"/>
      <c r="I56" s="35"/>
      <c r="J56" s="35"/>
      <c r="K56" s="301"/>
      <c r="L56" s="301" t="s">
        <v>673</v>
      </c>
      <c r="M56" s="301"/>
    </row>
    <row r="57" spans="1:13" x14ac:dyDescent="0.15">
      <c r="A57" s="35" t="s">
        <v>674</v>
      </c>
      <c r="B57" s="35"/>
      <c r="C57" s="35"/>
      <c r="D57" s="35"/>
      <c r="E57" s="35"/>
      <c r="F57" s="294">
        <f>-Forecasts!E99</f>
        <v>0.22500000000000001</v>
      </c>
      <c r="G57" s="35"/>
      <c r="H57" s="35"/>
      <c r="I57" s="35"/>
      <c r="J57" s="35"/>
      <c r="K57" s="301"/>
      <c r="L57" s="301" t="s">
        <v>675</v>
      </c>
      <c r="M57" s="301"/>
    </row>
    <row r="58" spans="1:13" x14ac:dyDescent="0.15">
      <c r="A58" s="35" t="s">
        <v>668</v>
      </c>
      <c r="B58" s="35"/>
      <c r="C58" s="35"/>
      <c r="D58" s="35"/>
      <c r="E58" s="35"/>
      <c r="F58" s="295">
        <f>F57/F56</f>
        <v>0.05</v>
      </c>
      <c r="G58" s="35"/>
      <c r="H58" s="35"/>
      <c r="I58" s="35"/>
      <c r="J58" s="35"/>
      <c r="K58" s="301"/>
      <c r="L58" s="301" t="s">
        <v>676</v>
      </c>
      <c r="M58" s="301"/>
    </row>
    <row r="59" spans="1:13" x14ac:dyDescent="0.15">
      <c r="A59" s="35"/>
      <c r="B59" s="35"/>
      <c r="C59" s="35"/>
      <c r="D59" s="35"/>
      <c r="E59" s="35"/>
      <c r="F59" s="293"/>
      <c r="G59" s="35"/>
      <c r="H59" s="35"/>
      <c r="I59" s="35"/>
      <c r="J59" s="35"/>
      <c r="K59" s="301"/>
      <c r="L59" s="301"/>
      <c r="M59" s="301"/>
    </row>
    <row r="60" spans="1:13" x14ac:dyDescent="0.15">
      <c r="A60" s="35"/>
      <c r="B60" s="35"/>
      <c r="C60" s="35"/>
      <c r="D60" s="35"/>
      <c r="E60" s="35"/>
      <c r="F60" s="35"/>
      <c r="G60" s="35"/>
      <c r="H60" s="35"/>
      <c r="I60" s="35"/>
      <c r="J60" s="35"/>
      <c r="K60" s="301"/>
      <c r="L60" s="301"/>
      <c r="M60" s="301"/>
    </row>
    <row r="61" spans="1:13" x14ac:dyDescent="0.15">
      <c r="A61" s="35" t="s">
        <v>677</v>
      </c>
      <c r="B61" s="35"/>
      <c r="C61" s="35"/>
      <c r="D61" s="35"/>
      <c r="E61" s="35"/>
      <c r="F61" s="201"/>
      <c r="G61" s="35"/>
      <c r="H61" s="35"/>
      <c r="I61" s="35"/>
      <c r="J61" s="35"/>
      <c r="K61" s="301"/>
      <c r="L61" s="37" t="s">
        <v>678</v>
      </c>
      <c r="M61" s="301"/>
    </row>
    <row r="62" spans="1:13" x14ac:dyDescent="0.15">
      <c r="A62" s="35" t="s">
        <v>679</v>
      </c>
      <c r="B62" s="35"/>
      <c r="C62" s="35"/>
      <c r="D62" s="35"/>
      <c r="E62" s="35"/>
      <c r="F62" s="248">
        <f>$F$26/($F$26+$F$39+$F$45+$F$51+$F$56)</f>
        <v>0.94643267901775774</v>
      </c>
      <c r="G62" s="35"/>
      <c r="H62" s="35"/>
      <c r="I62" s="35"/>
      <c r="J62" s="35"/>
      <c r="K62" s="301"/>
      <c r="L62" s="301" t="s">
        <v>680</v>
      </c>
      <c r="M62" s="301"/>
    </row>
    <row r="63" spans="1:13" x14ac:dyDescent="0.15">
      <c r="A63" s="35" t="s">
        <v>681</v>
      </c>
      <c r="B63" s="35"/>
      <c r="C63" s="35"/>
      <c r="D63" s="35"/>
      <c r="E63" s="35"/>
      <c r="F63" s="248">
        <f>$F$39/($F$26+$F$39+$F$45+$F$51+$F$56)</f>
        <v>3.4033417908084014E-2</v>
      </c>
      <c r="G63" s="35"/>
      <c r="H63" s="35"/>
      <c r="I63" s="35"/>
      <c r="J63" s="35"/>
      <c r="K63" s="301"/>
      <c r="L63" s="301" t="s">
        <v>682</v>
      </c>
      <c r="M63" s="301"/>
    </row>
    <row r="64" spans="1:13" x14ac:dyDescent="0.15">
      <c r="A64" s="35" t="s">
        <v>683</v>
      </c>
      <c r="B64" s="35"/>
      <c r="C64" s="35"/>
      <c r="D64" s="35"/>
      <c r="E64" s="35"/>
      <c r="F64" s="248">
        <f>$F$45/($F$26+$F$39+$F$45+$F$51+$F$56)</f>
        <v>1.9510586125742139E-2</v>
      </c>
      <c r="G64" s="35"/>
      <c r="H64" s="35"/>
      <c r="I64" s="35"/>
      <c r="J64" s="35"/>
      <c r="K64" s="301"/>
      <c r="L64" s="301"/>
      <c r="M64" s="301"/>
    </row>
    <row r="65" spans="1:12" x14ac:dyDescent="0.15">
      <c r="A65" s="35" t="s">
        <v>684</v>
      </c>
      <c r="B65" s="35"/>
      <c r="C65" s="35"/>
      <c r="D65" s="35"/>
      <c r="E65" s="35"/>
      <c r="F65" s="248">
        <f>$F$51/($F$26+$F$39+$F$45+$F$51+$F$56)</f>
        <v>0</v>
      </c>
      <c r="G65" s="35"/>
      <c r="H65" s="35"/>
      <c r="I65" s="35"/>
      <c r="J65" s="35"/>
      <c r="K65" s="301"/>
      <c r="L65" s="301" t="s">
        <v>685</v>
      </c>
    </row>
    <row r="66" spans="1:12" x14ac:dyDescent="0.15">
      <c r="A66" s="35" t="s">
        <v>686</v>
      </c>
      <c r="B66" s="35"/>
      <c r="C66" s="35"/>
      <c r="D66" s="35"/>
      <c r="E66" s="35"/>
      <c r="F66" s="248">
        <f>$F$56/($F$26+$F$39+$F$45+$F$51+$F$56)</f>
        <v>2.3316948416061942E-5</v>
      </c>
      <c r="G66" s="35"/>
      <c r="H66" s="35"/>
      <c r="I66" s="35"/>
      <c r="J66" s="35"/>
      <c r="K66" s="301"/>
      <c r="L66" s="301" t="s">
        <v>687</v>
      </c>
    </row>
    <row r="67" spans="1:12" x14ac:dyDescent="0.15">
      <c r="A67" s="35" t="s">
        <v>688</v>
      </c>
      <c r="B67" s="35"/>
      <c r="C67" s="35"/>
      <c r="D67" s="35"/>
      <c r="E67" s="35"/>
      <c r="F67" s="198">
        <f>($F$36*$F$62)+($F$63*F42)+($F$64*$F$48)+($F$65*$F$53)+($F$66*F58)</f>
        <v>5.698038880454015E-2</v>
      </c>
      <c r="G67" s="35"/>
      <c r="H67" s="35"/>
      <c r="I67" s="35"/>
      <c r="J67" s="35"/>
      <c r="K67" s="301"/>
      <c r="L67" s="301" t="s">
        <v>689</v>
      </c>
    </row>
    <row r="68" spans="1:12" ht="14" thickBot="1" x14ac:dyDescent="0.2">
      <c r="A68" s="202"/>
      <c r="B68" s="202"/>
      <c r="C68" s="202"/>
      <c r="D68" s="202"/>
      <c r="E68" s="202"/>
      <c r="F68" s="202"/>
      <c r="G68" s="202"/>
      <c r="H68" s="202"/>
      <c r="I68" s="202"/>
      <c r="J68" s="202"/>
      <c r="K68" s="301"/>
      <c r="L68" s="301"/>
    </row>
    <row r="69" spans="1:12" ht="14" thickTop="1" x14ac:dyDescent="0.15">
      <c r="A69" s="35"/>
      <c r="B69" s="35"/>
      <c r="C69" s="35"/>
      <c r="D69" s="35"/>
      <c r="E69" s="35"/>
      <c r="F69" s="35"/>
      <c r="G69" s="35"/>
      <c r="H69" s="35"/>
      <c r="I69" s="35"/>
      <c r="J69" s="35"/>
      <c r="K69" s="301"/>
      <c r="L69" s="301"/>
    </row>
    <row r="70" spans="1:12" ht="14" thickBot="1" x14ac:dyDescent="0.2">
      <c r="A70" s="35"/>
      <c r="B70" s="35"/>
      <c r="C70" s="35"/>
      <c r="D70" s="35"/>
      <c r="E70" s="35"/>
      <c r="F70" s="35"/>
      <c r="G70" s="35"/>
      <c r="H70" s="35"/>
      <c r="I70" s="35"/>
      <c r="J70" s="35"/>
      <c r="K70" s="301"/>
      <c r="L70" s="301"/>
    </row>
    <row r="71" spans="1:12" ht="14" thickTop="1" x14ac:dyDescent="0.15">
      <c r="A71" s="311" t="s">
        <v>414</v>
      </c>
      <c r="B71" s="479"/>
      <c r="C71" s="203" t="str">
        <f>C18</f>
        <v>VALUATION MODELS</v>
      </c>
      <c r="D71" s="203"/>
      <c r="E71" s="480"/>
      <c r="F71" s="480"/>
      <c r="G71" s="480"/>
      <c r="H71" s="480"/>
      <c r="I71" s="480"/>
      <c r="J71" s="481"/>
      <c r="K71" s="301"/>
      <c r="L71" s="301"/>
    </row>
    <row r="72" spans="1:12" x14ac:dyDescent="0.15">
      <c r="A72" s="310" t="str">
        <f>Data!$A$9</f>
        <v>Analyst Name:</v>
      </c>
      <c r="B72" s="477"/>
      <c r="C72" s="84" t="str">
        <f>Data!$B$9</f>
        <v>Durdona Karimova &amp; Vincenzo Giordano</v>
      </c>
      <c r="D72" s="85"/>
      <c r="E72" s="429"/>
      <c r="F72" s="431"/>
      <c r="G72" s="431"/>
      <c r="H72" s="431"/>
      <c r="I72" s="431"/>
      <c r="J72" s="431"/>
      <c r="K72" s="301"/>
      <c r="L72" s="301"/>
    </row>
    <row r="73" spans="1:12" x14ac:dyDescent="0.15">
      <c r="A73" s="310" t="str">
        <f>Data!$A$10</f>
        <v>Company Name:</v>
      </c>
      <c r="B73" s="478"/>
      <c r="C73" s="84" t="str">
        <f>Data!$B$10</f>
        <v>L'Oreal</v>
      </c>
      <c r="D73" s="429"/>
      <c r="E73" s="436"/>
      <c r="F73" s="431"/>
      <c r="G73" s="431"/>
      <c r="H73" s="431"/>
      <c r="I73" s="431"/>
      <c r="J73" s="431"/>
      <c r="K73" s="301"/>
      <c r="L73" s="301"/>
    </row>
    <row r="74" spans="1:12" x14ac:dyDescent="0.15">
      <c r="A74" s="147"/>
      <c r="B74" s="35"/>
      <c r="C74" s="35"/>
      <c r="D74" s="35"/>
      <c r="E74" s="35"/>
      <c r="F74" s="35"/>
      <c r="G74" s="35"/>
      <c r="H74" s="35"/>
      <c r="I74" s="35"/>
      <c r="J74" s="70" t="s">
        <v>690</v>
      </c>
      <c r="K74" s="301"/>
      <c r="L74" s="301"/>
    </row>
    <row r="75" spans="1:12" x14ac:dyDescent="0.15">
      <c r="A75" s="147"/>
      <c r="B75" s="35"/>
      <c r="C75" s="35"/>
      <c r="D75" s="35"/>
      <c r="E75" s="204">
        <v>1</v>
      </c>
      <c r="F75" s="204">
        <v>2</v>
      </c>
      <c r="G75" s="204">
        <v>3</v>
      </c>
      <c r="H75" s="204">
        <v>4</v>
      </c>
      <c r="I75" s="204">
        <v>5</v>
      </c>
      <c r="J75" s="70" t="s">
        <v>691</v>
      </c>
      <c r="K75" s="301"/>
      <c r="L75" s="37" t="s">
        <v>692</v>
      </c>
    </row>
    <row r="76" spans="1:12" x14ac:dyDescent="0.15">
      <c r="A76" s="205" t="s">
        <v>693</v>
      </c>
      <c r="B76" s="205"/>
      <c r="C76" s="205"/>
      <c r="D76" s="205"/>
      <c r="E76" s="206" t="s">
        <v>430</v>
      </c>
      <c r="F76" s="206" t="s">
        <v>431</v>
      </c>
      <c r="G76" s="206" t="s">
        <v>432</v>
      </c>
      <c r="H76" s="206" t="s">
        <v>433</v>
      </c>
      <c r="I76" s="206" t="s">
        <v>434</v>
      </c>
      <c r="J76" s="206" t="s">
        <v>435</v>
      </c>
      <c r="K76" s="301"/>
      <c r="L76" s="482" t="s">
        <v>694</v>
      </c>
    </row>
    <row r="77" spans="1:12" x14ac:dyDescent="0.15">
      <c r="A77" s="35"/>
      <c r="B77" s="35"/>
      <c r="C77" s="35"/>
      <c r="D77" s="35"/>
      <c r="E77" s="70"/>
      <c r="F77" s="70"/>
      <c r="G77" s="70"/>
      <c r="H77" s="70"/>
      <c r="I77" s="70"/>
      <c r="J77" s="70"/>
      <c r="K77" s="301"/>
      <c r="L77" s="301"/>
    </row>
    <row r="78" spans="1:12" x14ac:dyDescent="0.15">
      <c r="A78" s="191" t="s">
        <v>695</v>
      </c>
      <c r="B78" s="35"/>
      <c r="C78" s="35"/>
      <c r="D78" s="35"/>
      <c r="E78" s="207">
        <f ca="1">-Forecasts!E271-Forecasts!E281</f>
        <v>5154.8551976952422</v>
      </c>
      <c r="F78" s="207">
        <f ca="1">-Forecasts!F271-Forecasts!F281</f>
        <v>5782.1393848025346</v>
      </c>
      <c r="G78" s="207">
        <f ca="1">-Forecasts!G271-Forecasts!G281</f>
        <v>6363.0020536095963</v>
      </c>
      <c r="H78" s="207">
        <f ca="1">-Forecasts!H271-Forecasts!H281</f>
        <v>6986.8956191182187</v>
      </c>
      <c r="I78" s="207">
        <f ca="1">-Forecasts!I271-Forecasts!I281</f>
        <v>7657.607793922838</v>
      </c>
      <c r="J78" s="207"/>
      <c r="K78" s="301"/>
      <c r="L78" s="301" t="s">
        <v>696</v>
      </c>
    </row>
    <row r="79" spans="1:12" x14ac:dyDescent="0.15">
      <c r="A79" s="35" t="s">
        <v>697</v>
      </c>
      <c r="B79" s="35"/>
      <c r="C79" s="35"/>
      <c r="D79" s="35"/>
      <c r="E79" s="207">
        <f>Forecasts!D235-Forecasts!E235</f>
        <v>-71.023999999999887</v>
      </c>
      <c r="F79" s="207">
        <f>Forecasts!E235-Forecasts!F235</f>
        <v>-72.444480000000112</v>
      </c>
      <c r="G79" s="207">
        <f>Forecasts!F235-Forecasts!G235</f>
        <v>-73.893369599999914</v>
      </c>
      <c r="H79" s="207">
        <f>Forecasts!G235-Forecasts!H235</f>
        <v>-75.371236991999922</v>
      </c>
      <c r="I79" s="207">
        <f>Forecasts!H235-Forecasts!I235</f>
        <v>-76.878661731840111</v>
      </c>
      <c r="J79" s="207"/>
      <c r="K79" s="301"/>
      <c r="L79" s="301" t="s">
        <v>698</v>
      </c>
    </row>
    <row r="80" spans="1:12" x14ac:dyDescent="0.15">
      <c r="A80" s="35" t="s">
        <v>699</v>
      </c>
      <c r="B80" s="35"/>
      <c r="C80" s="35"/>
      <c r="D80" s="35"/>
      <c r="E80" s="207">
        <f>Forecasts!D244-Forecasts!E244</f>
        <v>-1614.4799999999996</v>
      </c>
      <c r="F80" s="207">
        <f>Forecasts!E244-Forecasts!F244</f>
        <v>-1775.9279999999999</v>
      </c>
      <c r="G80" s="207">
        <f>Forecasts!F244-Forecasts!G244</f>
        <v>-1953.5208000000021</v>
      </c>
      <c r="H80" s="207">
        <f>Forecasts!G244-Forecasts!H244</f>
        <v>-2148.8728800000026</v>
      </c>
      <c r="I80" s="207">
        <f>Forecasts!H244-Forecasts!I244</f>
        <v>-2363.7601680000007</v>
      </c>
      <c r="J80" s="207"/>
      <c r="K80" s="301"/>
      <c r="L80" s="301" t="s">
        <v>700</v>
      </c>
    </row>
    <row r="81" spans="1:12" x14ac:dyDescent="0.15">
      <c r="A81" s="205" t="s">
        <v>701</v>
      </c>
      <c r="B81" s="205"/>
      <c r="C81" s="205"/>
      <c r="D81" s="205"/>
      <c r="E81" s="208">
        <f ca="1">SUM(E78:E80)</f>
        <v>3469.3511976952432</v>
      </c>
      <c r="F81" s="208">
        <f ca="1">SUM(F78:F80)</f>
        <v>3933.7669048025346</v>
      </c>
      <c r="G81" s="208">
        <f ca="1">SUM(G78:G80)</f>
        <v>4335.5878840095938</v>
      </c>
      <c r="H81" s="208">
        <f ca="1">SUM(H78:H80)</f>
        <v>4762.6515021262167</v>
      </c>
      <c r="I81" s="208">
        <f ca="1">SUM(I78:I80)</f>
        <v>5216.9689641909972</v>
      </c>
      <c r="J81" s="316">
        <f ca="1">(Forecasts!J109)-(Forecasts!J235+Forecasts!J238+Forecasts!J241+Forecasts!J244-Forecasts!I235-Forecasts!I238-Forecasts!I241-Forecasts!I244)</f>
        <v>6966.578435742078</v>
      </c>
      <c r="K81" s="301"/>
      <c r="L81" s="301" t="s">
        <v>702</v>
      </c>
    </row>
    <row r="82" spans="1:12" x14ac:dyDescent="0.15">
      <c r="A82" s="35"/>
      <c r="B82" s="35"/>
      <c r="C82" s="35"/>
      <c r="D82" s="35"/>
      <c r="E82" s="70"/>
      <c r="F82" s="70"/>
      <c r="G82" s="70"/>
      <c r="H82" s="70"/>
      <c r="I82" s="70"/>
      <c r="J82" s="70"/>
      <c r="K82" s="301"/>
      <c r="L82" s="301"/>
    </row>
    <row r="83" spans="1:12" x14ac:dyDescent="0.15">
      <c r="A83" s="35" t="s">
        <v>703</v>
      </c>
      <c r="B83" s="35"/>
      <c r="C83" s="35"/>
      <c r="D83" s="35"/>
      <c r="E83" s="209">
        <f>1/(1+$F$36)^E75</f>
        <v>0.94339622641509424</v>
      </c>
      <c r="F83" s="209">
        <f>1/(1+$F$36)^F75</f>
        <v>0.88999644001423983</v>
      </c>
      <c r="G83" s="209">
        <f>1/(1+$F$36)^G75</f>
        <v>0.8396192830323016</v>
      </c>
      <c r="H83" s="209">
        <f>1/(1+$F$36)^H75</f>
        <v>0.79209366323802044</v>
      </c>
      <c r="I83" s="209">
        <f>1/(1+$F$36)^I75</f>
        <v>0.74725817286605689</v>
      </c>
      <c r="J83" s="209"/>
      <c r="K83" s="301"/>
      <c r="L83" s="301" t="s">
        <v>704</v>
      </c>
    </row>
    <row r="84" spans="1:12" x14ac:dyDescent="0.15">
      <c r="A84" s="35" t="s">
        <v>705</v>
      </c>
      <c r="B84" s="35"/>
      <c r="C84" s="35"/>
      <c r="D84" s="35"/>
      <c r="E84" s="207">
        <f ca="1">E81*E83</f>
        <v>3272.97282801438</v>
      </c>
      <c r="F84" s="207">
        <f ca="1">F81*F83</f>
        <v>3501.0385411200909</v>
      </c>
      <c r="G84" s="207">
        <f ca="1">G81*G83</f>
        <v>3640.2431906956685</v>
      </c>
      <c r="H84" s="207">
        <f ca="1">H81*H83</f>
        <v>3772.4660750452158</v>
      </c>
      <c r="I84" s="207">
        <f ca="1">I81*I83</f>
        <v>3898.4226960802898</v>
      </c>
      <c r="J84" s="207"/>
      <c r="K84" s="301"/>
      <c r="L84" s="301"/>
    </row>
    <row r="85" spans="1:12" x14ac:dyDescent="0.15">
      <c r="A85" s="35" t="s">
        <v>706</v>
      </c>
      <c r="B85" s="35"/>
      <c r="C85" s="35"/>
      <c r="D85" s="35"/>
      <c r="E85" s="207">
        <f ca="1">SUM(E84:I84)</f>
        <v>18085.143330955645</v>
      </c>
      <c r="F85" s="207"/>
      <c r="G85" s="207"/>
      <c r="H85" s="207"/>
      <c r="I85" s="207"/>
      <c r="J85" s="207"/>
      <c r="K85" s="301"/>
      <c r="L85" s="301" t="s">
        <v>707</v>
      </c>
    </row>
    <row r="86" spans="1:12" x14ac:dyDescent="0.15">
      <c r="A86" s="35" t="s">
        <v>708</v>
      </c>
      <c r="B86" s="35"/>
      <c r="C86" s="35"/>
      <c r="D86" s="35"/>
      <c r="E86" s="210">
        <f ca="1">J81/($F$36-$F$29)*$I$83</f>
        <v>260291.63365103491</v>
      </c>
      <c r="F86" s="249"/>
      <c r="G86" s="210"/>
      <c r="H86" s="210"/>
      <c r="I86" s="210"/>
      <c r="J86" s="210"/>
      <c r="K86" s="301"/>
      <c r="L86" s="301" t="s">
        <v>709</v>
      </c>
    </row>
    <row r="87" spans="1:12" x14ac:dyDescent="0.15">
      <c r="A87" s="35" t="s">
        <v>710</v>
      </c>
      <c r="B87" s="35"/>
      <c r="C87" s="35"/>
      <c r="D87" s="35"/>
      <c r="E87" s="210">
        <f ca="1">E85+E86</f>
        <v>278376.77698199055</v>
      </c>
      <c r="F87" s="207"/>
      <c r="G87" s="210"/>
      <c r="H87" s="210"/>
      <c r="I87" s="210"/>
      <c r="J87" s="210"/>
      <c r="K87" s="301"/>
      <c r="L87" s="301"/>
    </row>
    <row r="88" spans="1:12" x14ac:dyDescent="0.15">
      <c r="A88" s="35" t="s">
        <v>711</v>
      </c>
      <c r="B88" s="35"/>
      <c r="C88" s="35"/>
      <c r="D88" s="35"/>
      <c r="E88" s="241">
        <f>(1+$F$36/2)</f>
        <v>1.03</v>
      </c>
      <c r="F88" s="35"/>
      <c r="G88" s="35"/>
      <c r="H88" s="35"/>
      <c r="I88" s="35"/>
      <c r="J88" s="35"/>
      <c r="K88" s="301"/>
      <c r="L88" s="301" t="s">
        <v>712</v>
      </c>
    </row>
    <row r="89" spans="1:12" x14ac:dyDescent="0.15">
      <c r="A89" s="35" t="s">
        <v>713</v>
      </c>
      <c r="B89" s="35"/>
      <c r="C89" s="35"/>
      <c r="D89" s="35"/>
      <c r="E89" s="210">
        <f ca="1">E87*E88</f>
        <v>286728.08029145026</v>
      </c>
      <c r="F89" s="35"/>
      <c r="G89" s="35"/>
      <c r="H89" s="35"/>
      <c r="I89" s="35"/>
      <c r="J89" s="35"/>
      <c r="K89" s="301"/>
      <c r="L89" s="301"/>
    </row>
    <row r="90" spans="1:12" x14ac:dyDescent="0.15">
      <c r="A90" s="35" t="s">
        <v>714</v>
      </c>
      <c r="B90" s="35"/>
      <c r="C90" s="35"/>
      <c r="D90" s="35"/>
      <c r="E90" s="210">
        <f>$F$25</f>
        <v>534.31202099999996</v>
      </c>
      <c r="F90" s="35"/>
      <c r="G90" s="35"/>
      <c r="H90" s="35"/>
      <c r="I90" s="35"/>
      <c r="J90" s="35"/>
      <c r="K90" s="301"/>
      <c r="L90" s="301"/>
    </row>
    <row r="91" spans="1:12" x14ac:dyDescent="0.15">
      <c r="A91" s="35" t="s">
        <v>715</v>
      </c>
      <c r="B91" s="35"/>
      <c r="C91" s="35"/>
      <c r="D91" s="35"/>
      <c r="E91" s="488">
        <f ca="1">E89/E90</f>
        <v>536.63041260950831</v>
      </c>
      <c r="F91" s="35"/>
      <c r="G91" s="35"/>
      <c r="H91" s="35"/>
      <c r="I91" s="35"/>
      <c r="J91" s="35"/>
      <c r="K91" s="301"/>
      <c r="L91" s="301" t="s">
        <v>716</v>
      </c>
    </row>
    <row r="92" spans="1:12" x14ac:dyDescent="0.15">
      <c r="A92" s="35"/>
      <c r="B92" s="35"/>
      <c r="C92" s="35"/>
      <c r="D92" s="35"/>
      <c r="E92" s="35"/>
      <c r="F92" s="35"/>
      <c r="G92" s="35"/>
      <c r="H92" s="35"/>
      <c r="I92" s="35"/>
      <c r="J92" s="35"/>
      <c r="K92" s="301"/>
      <c r="L92" s="301"/>
    </row>
    <row r="93" spans="1:12" x14ac:dyDescent="0.15">
      <c r="A93" s="35" t="s">
        <v>624</v>
      </c>
      <c r="B93" s="35"/>
      <c r="C93" s="35"/>
      <c r="D93" s="35"/>
      <c r="E93" s="211">
        <f>$F$24</f>
        <v>341.85</v>
      </c>
      <c r="F93" s="35"/>
      <c r="G93" s="35"/>
      <c r="H93" s="35"/>
      <c r="I93" s="35"/>
      <c r="J93" s="35"/>
      <c r="K93" s="301"/>
      <c r="L93" s="301"/>
    </row>
    <row r="94" spans="1:12" x14ac:dyDescent="0.15">
      <c r="A94" s="35" t="s">
        <v>717</v>
      </c>
      <c r="B94" s="35"/>
      <c r="C94" s="35"/>
      <c r="D94" s="35"/>
      <c r="E94" s="245">
        <f ca="1">E91/E93-1</f>
        <v>0.56978327514848104</v>
      </c>
      <c r="F94" s="35"/>
      <c r="G94" s="35"/>
      <c r="H94" s="35"/>
      <c r="I94" s="35"/>
      <c r="J94" s="35"/>
      <c r="K94" s="301"/>
      <c r="L94" s="301" t="s">
        <v>718</v>
      </c>
    </row>
    <row r="95" spans="1:12" ht="14" thickBot="1" x14ac:dyDescent="0.2">
      <c r="A95" s="202"/>
      <c r="B95" s="212"/>
      <c r="C95" s="212"/>
      <c r="D95" s="212"/>
      <c r="E95" s="212"/>
      <c r="F95" s="212"/>
      <c r="G95" s="212"/>
      <c r="H95" s="212"/>
      <c r="I95" s="212"/>
      <c r="J95" s="212"/>
      <c r="K95" s="301"/>
      <c r="L95" s="301"/>
    </row>
    <row r="96" spans="1:12" ht="14" thickTop="1" x14ac:dyDescent="0.15">
      <c r="A96" s="299"/>
      <c r="B96" s="299"/>
      <c r="C96" s="299"/>
      <c r="D96" s="299"/>
      <c r="E96" s="299"/>
      <c r="F96" s="299"/>
      <c r="G96" s="299"/>
      <c r="H96" s="299"/>
      <c r="I96" s="299"/>
      <c r="J96" s="299"/>
      <c r="K96" s="301"/>
      <c r="L96" s="301"/>
    </row>
    <row r="97" spans="1:12" ht="14" thickBot="1" x14ac:dyDescent="0.2">
      <c r="A97" s="299"/>
      <c r="B97" s="299"/>
      <c r="C97" s="299"/>
      <c r="D97" s="299"/>
      <c r="E97" s="299"/>
      <c r="F97" s="299"/>
      <c r="G97" s="299"/>
      <c r="H97" s="299"/>
      <c r="I97" s="299"/>
      <c r="J97" s="299"/>
      <c r="K97" s="301"/>
      <c r="L97" s="301"/>
    </row>
    <row r="98" spans="1:12" ht="14" thickTop="1" x14ac:dyDescent="0.15">
      <c r="A98" s="311" t="s">
        <v>414</v>
      </c>
      <c r="B98" s="479"/>
      <c r="C98" s="203" t="str">
        <f>C18</f>
        <v>VALUATION MODELS</v>
      </c>
      <c r="D98" s="203"/>
      <c r="E98" s="480"/>
      <c r="F98" s="480"/>
      <c r="G98" s="480"/>
      <c r="H98" s="480"/>
      <c r="I98" s="480"/>
      <c r="J98" s="481"/>
      <c r="K98" s="301"/>
      <c r="L98" s="301"/>
    </row>
    <row r="99" spans="1:12" x14ac:dyDescent="0.15">
      <c r="A99" s="310" t="str">
        <f>Data!$A$9</f>
        <v>Analyst Name:</v>
      </c>
      <c r="B99" s="477"/>
      <c r="C99" s="84" t="str">
        <f>Data!$B$9</f>
        <v>Durdona Karimova &amp; Vincenzo Giordano</v>
      </c>
      <c r="D99" s="85"/>
      <c r="E99" s="429"/>
      <c r="F99" s="431"/>
      <c r="G99" s="431"/>
      <c r="H99" s="431"/>
      <c r="I99" s="431"/>
      <c r="J99" s="431"/>
      <c r="K99" s="301"/>
      <c r="L99" s="301"/>
    </row>
    <row r="100" spans="1:12" x14ac:dyDescent="0.15">
      <c r="A100" s="310" t="str">
        <f>Data!$A$10</f>
        <v>Company Name:</v>
      </c>
      <c r="B100" s="478"/>
      <c r="C100" s="84" t="str">
        <f>Data!$B$10</f>
        <v>L'Oreal</v>
      </c>
      <c r="D100" s="429"/>
      <c r="E100" s="436"/>
      <c r="F100" s="431"/>
      <c r="G100" s="431"/>
      <c r="H100" s="431"/>
      <c r="I100" s="431"/>
      <c r="J100" s="431"/>
      <c r="K100" s="301"/>
      <c r="L100" s="301"/>
    </row>
    <row r="101" spans="1:12" x14ac:dyDescent="0.15">
      <c r="A101" s="147"/>
      <c r="B101" s="35"/>
      <c r="C101" s="35"/>
      <c r="D101" s="35"/>
      <c r="E101" s="35"/>
      <c r="F101" s="35"/>
      <c r="G101" s="35"/>
      <c r="H101" s="35"/>
      <c r="I101" s="35"/>
      <c r="J101" s="70" t="s">
        <v>690</v>
      </c>
      <c r="K101" s="301"/>
      <c r="L101" s="301"/>
    </row>
    <row r="102" spans="1:12" x14ac:dyDescent="0.15">
      <c r="A102" s="35"/>
      <c r="B102" s="35"/>
      <c r="C102" s="35"/>
      <c r="D102" s="35"/>
      <c r="E102" s="204">
        <v>1</v>
      </c>
      <c r="F102" s="204">
        <v>2</v>
      </c>
      <c r="G102" s="204">
        <v>3</v>
      </c>
      <c r="H102" s="204">
        <v>4</v>
      </c>
      <c r="I102" s="204">
        <v>5</v>
      </c>
      <c r="J102" s="70" t="s">
        <v>691</v>
      </c>
      <c r="K102" s="301"/>
      <c r="L102" s="37" t="s">
        <v>719</v>
      </c>
    </row>
    <row r="103" spans="1:12" x14ac:dyDescent="0.15">
      <c r="A103" s="205" t="s">
        <v>720</v>
      </c>
      <c r="B103" s="205"/>
      <c r="C103" s="205"/>
      <c r="D103" s="205"/>
      <c r="E103" s="206" t="s">
        <v>430</v>
      </c>
      <c r="F103" s="206" t="s">
        <v>431</v>
      </c>
      <c r="G103" s="206" t="s">
        <v>432</v>
      </c>
      <c r="H103" s="206" t="s">
        <v>433</v>
      </c>
      <c r="I103" s="206" t="s">
        <v>434</v>
      </c>
      <c r="J103" s="206" t="s">
        <v>435</v>
      </c>
      <c r="K103" s="301"/>
      <c r="L103" s="482" t="s">
        <v>721</v>
      </c>
    </row>
    <row r="104" spans="1:12" x14ac:dyDescent="0.15">
      <c r="A104" s="35"/>
      <c r="B104" s="35"/>
      <c r="C104" s="35"/>
      <c r="D104" s="35"/>
      <c r="E104" s="70"/>
      <c r="F104" s="70"/>
      <c r="G104" s="70"/>
      <c r="H104" s="70"/>
      <c r="I104" s="70"/>
      <c r="J104" s="70"/>
      <c r="K104" s="301"/>
      <c r="L104" s="301"/>
    </row>
    <row r="105" spans="1:12" x14ac:dyDescent="0.15">
      <c r="A105" s="35" t="s">
        <v>722</v>
      </c>
      <c r="B105" s="35"/>
      <c r="C105" s="35"/>
      <c r="D105" s="35"/>
      <c r="E105" s="210">
        <f ca="1">Forecasts!E307</f>
        <v>21661.311272383489</v>
      </c>
      <c r="F105" s="210">
        <f ca="1">Forecasts!F307</f>
        <v>23525.006165890794</v>
      </c>
      <c r="G105" s="210">
        <f ca="1">Forecasts!G307</f>
        <v>25442.314142609834</v>
      </c>
      <c r="H105" s="210">
        <f ca="1">Forecasts!H307</f>
        <v>27506.408154109449</v>
      </c>
      <c r="I105" s="210">
        <f ca="1">Forecasts!I307</f>
        <v>29729.032010179886</v>
      </c>
      <c r="J105" s="210">
        <f ca="1">Forecasts!J307</f>
        <v>30255.364481065859</v>
      </c>
      <c r="K105" s="301"/>
      <c r="L105" s="301" t="s">
        <v>723</v>
      </c>
    </row>
    <row r="106" spans="1:12" x14ac:dyDescent="0.15">
      <c r="A106" s="35" t="s">
        <v>724</v>
      </c>
      <c r="B106" s="35"/>
      <c r="C106" s="35"/>
      <c r="D106" s="35"/>
      <c r="E106" s="210">
        <f ca="1">-Forecasts!E326</f>
        <v>-15353.222080000001</v>
      </c>
      <c r="F106" s="210">
        <f ca="1">-Forecasts!F326</f>
        <v>-16581.479846400016</v>
      </c>
      <c r="G106" s="210">
        <f ca="1">-Forecasts!G326</f>
        <v>-17907.998234111994</v>
      </c>
      <c r="H106" s="210">
        <f ca="1">-Forecasts!H326</f>
        <v>-19340.638092840989</v>
      </c>
      <c r="I106" s="210">
        <f ca="1">-Forecasts!I326</f>
        <v>-20887.88914026822</v>
      </c>
      <c r="J106" s="210">
        <f ca="1">-Forecasts!J326</f>
        <v>-21507.936329374676</v>
      </c>
      <c r="K106" s="301"/>
      <c r="L106" s="301" t="s">
        <v>725</v>
      </c>
    </row>
    <row r="107" spans="1:12" x14ac:dyDescent="0.15">
      <c r="A107" s="191" t="s">
        <v>726</v>
      </c>
      <c r="B107" s="35"/>
      <c r="C107" s="35"/>
      <c r="D107" s="35"/>
      <c r="E107" s="210">
        <f>Forecasts!E315</f>
        <v>-4360.8866005901973</v>
      </c>
      <c r="F107" s="210">
        <f>Forecasts!F315</f>
        <v>-4537.8194005901987</v>
      </c>
      <c r="G107" s="210">
        <f>Forecasts!G315</f>
        <v>-4732.8767317901966</v>
      </c>
      <c r="H107" s="210">
        <f>Forecasts!H315</f>
        <v>-4943.5386494861968</v>
      </c>
      <c r="I107" s="210">
        <f>Forecasts!I315</f>
        <v>-5171.0535205978777</v>
      </c>
      <c r="J107" s="210">
        <f>Forecasts!J315</f>
        <v>-2501.0509961221906</v>
      </c>
      <c r="K107" s="301"/>
      <c r="L107" s="301" t="s">
        <v>727</v>
      </c>
    </row>
    <row r="108" spans="1:12" x14ac:dyDescent="0.15">
      <c r="A108" s="35" t="s">
        <v>728</v>
      </c>
      <c r="B108" s="35"/>
      <c r="C108" s="35"/>
      <c r="D108" s="35"/>
      <c r="E108" s="210">
        <f>Forecasts!E316+Forecasts!E317+Forecasts!E318+Forecasts!E319</f>
        <v>1522.373605901952</v>
      </c>
      <c r="F108" s="210">
        <f>Forecasts!F316+Forecasts!F317+Forecasts!F318+Forecasts!F319</f>
        <v>1528.2849859019518</v>
      </c>
      <c r="G108" s="210">
        <f>Forecasts!G316+Forecasts!G317+Forecasts!G318+Forecasts!G319</f>
        <v>1534.3737073019515</v>
      </c>
      <c r="H108" s="210">
        <f>Forecasts!H316+Forecasts!H317+Forecasts!H318+Forecasts!H319</f>
        <v>1540.6450903439522</v>
      </c>
      <c r="I108" s="210">
        <f>Forecasts!I316+Forecasts!I317+Forecasts!I318+Forecasts!I319</f>
        <v>1547.1046148772114</v>
      </c>
      <c r="J108" s="210">
        <f>Forecasts!J316+Forecasts!J317+Forecasts!J318+Forecasts!J319</f>
        <v>720.25528017308102</v>
      </c>
      <c r="K108" s="301"/>
      <c r="L108" s="301" t="s">
        <v>729</v>
      </c>
    </row>
    <row r="109" spans="1:12" x14ac:dyDescent="0.15">
      <c r="A109" s="35" t="s">
        <v>730</v>
      </c>
      <c r="B109" s="35"/>
      <c r="C109" s="35"/>
      <c r="D109" s="35"/>
      <c r="E109" s="210">
        <f t="shared" ref="E109:J109" si="0">-E260</f>
        <v>0</v>
      </c>
      <c r="F109" s="210">
        <f t="shared" si="0"/>
        <v>0</v>
      </c>
      <c r="G109" s="210">
        <f t="shared" si="0"/>
        <v>0</v>
      </c>
      <c r="H109" s="210">
        <f t="shared" si="0"/>
        <v>0</v>
      </c>
      <c r="I109" s="210">
        <f t="shared" si="0"/>
        <v>0</v>
      </c>
      <c r="J109" s="210">
        <f t="shared" si="0"/>
        <v>0</v>
      </c>
      <c r="K109" s="301"/>
      <c r="L109" s="301" t="s">
        <v>731</v>
      </c>
    </row>
    <row r="110" spans="1:12" x14ac:dyDescent="0.15">
      <c r="A110" s="35" t="s">
        <v>732</v>
      </c>
      <c r="B110" s="35"/>
      <c r="C110" s="35"/>
      <c r="D110" s="35"/>
      <c r="E110" s="210">
        <f>Forecasts!E324</f>
        <v>-0.22500000000000001</v>
      </c>
      <c r="F110" s="210">
        <f>Forecasts!F324</f>
        <v>-0.22500000000000001</v>
      </c>
      <c r="G110" s="210">
        <f>Forecasts!G324</f>
        <v>-0.22500000000000001</v>
      </c>
      <c r="H110" s="210">
        <f>Forecasts!H324</f>
        <v>-0.22500000000000001</v>
      </c>
      <c r="I110" s="210">
        <f>Forecasts!I324</f>
        <v>-0.22500000000000001</v>
      </c>
      <c r="J110" s="210">
        <f>Forecasts!J324</f>
        <v>-5.4000000000000298E-2</v>
      </c>
      <c r="K110" s="301"/>
      <c r="L110" s="301" t="s">
        <v>733</v>
      </c>
    </row>
    <row r="111" spans="1:12" x14ac:dyDescent="0.15">
      <c r="A111" s="205" t="s">
        <v>734</v>
      </c>
      <c r="B111" s="205"/>
      <c r="C111" s="205"/>
      <c r="D111" s="205"/>
      <c r="E111" s="213">
        <f t="shared" ref="E111:J111" ca="1" si="1">SUM(E105:E110)</f>
        <v>3469.3511976952427</v>
      </c>
      <c r="F111" s="213">
        <f t="shared" ca="1" si="1"/>
        <v>3933.7669048025314</v>
      </c>
      <c r="G111" s="213">
        <f t="shared" ca="1" si="1"/>
        <v>4335.5878840095938</v>
      </c>
      <c r="H111" s="213">
        <f t="shared" ca="1" si="1"/>
        <v>4762.6515021262148</v>
      </c>
      <c r="I111" s="213">
        <f t="shared" ca="1" si="1"/>
        <v>5216.968964190999</v>
      </c>
      <c r="J111" s="213">
        <f t="shared" ca="1" si="1"/>
        <v>6966.5784357420735</v>
      </c>
      <c r="K111" s="301"/>
      <c r="L111" s="301" t="s">
        <v>735</v>
      </c>
    </row>
    <row r="112" spans="1:12" x14ac:dyDescent="0.15">
      <c r="A112" s="35"/>
      <c r="B112" s="35"/>
      <c r="C112" s="35"/>
      <c r="D112" s="35"/>
      <c r="E112" s="35"/>
      <c r="F112" s="35"/>
      <c r="G112" s="35"/>
      <c r="H112" s="35"/>
      <c r="I112" s="35"/>
      <c r="J112" s="35"/>
      <c r="K112" s="301"/>
      <c r="L112" s="301"/>
    </row>
    <row r="113" spans="1:12" x14ac:dyDescent="0.15">
      <c r="A113" s="35" t="s">
        <v>703</v>
      </c>
      <c r="B113" s="35"/>
      <c r="C113" s="35"/>
      <c r="D113" s="35"/>
      <c r="E113" s="214">
        <f>1/(1+$F$36)^E102</f>
        <v>0.94339622641509424</v>
      </c>
      <c r="F113" s="214">
        <f>1/(1+$F$36)^F102</f>
        <v>0.88999644001423983</v>
      </c>
      <c r="G113" s="214">
        <f>1/(1+$F$36)^G102</f>
        <v>0.8396192830323016</v>
      </c>
      <c r="H113" s="214">
        <f>1/(1+$F$36)^H102</f>
        <v>0.79209366323802044</v>
      </c>
      <c r="I113" s="214">
        <f>1/(1+$F$36)^I102</f>
        <v>0.74725817286605689</v>
      </c>
      <c r="J113" s="214"/>
      <c r="K113" s="301"/>
      <c r="L113" s="301" t="s">
        <v>704</v>
      </c>
    </row>
    <row r="114" spans="1:12" x14ac:dyDescent="0.15">
      <c r="A114" s="35" t="s">
        <v>736</v>
      </c>
      <c r="B114" s="35"/>
      <c r="C114" s="35"/>
      <c r="D114" s="35"/>
      <c r="E114" s="210">
        <f ca="1">E111*E113</f>
        <v>3272.9728280143795</v>
      </c>
      <c r="F114" s="210">
        <f ca="1">F111*F113</f>
        <v>3501.0385411200882</v>
      </c>
      <c r="G114" s="210">
        <f ca="1">G111*G113</f>
        <v>3640.2431906956685</v>
      </c>
      <c r="H114" s="210">
        <f ca="1">H111*H113</f>
        <v>3772.466075045214</v>
      </c>
      <c r="I114" s="210">
        <f ca="1">I111*I113</f>
        <v>3898.4226960802912</v>
      </c>
      <c r="J114" s="210"/>
      <c r="K114" s="301"/>
      <c r="L114" s="301"/>
    </row>
    <row r="115" spans="1:12" x14ac:dyDescent="0.15">
      <c r="A115" s="35" t="s">
        <v>737</v>
      </c>
      <c r="B115" s="35"/>
      <c r="C115" s="35"/>
      <c r="D115" s="35"/>
      <c r="E115" s="210">
        <f ca="1">SUM(E114:I114)</f>
        <v>18085.143330955641</v>
      </c>
      <c r="F115" s="210"/>
      <c r="G115" s="210"/>
      <c r="H115" s="210"/>
      <c r="I115" s="210"/>
      <c r="J115" s="210"/>
      <c r="K115" s="301"/>
      <c r="L115" s="301" t="s">
        <v>738</v>
      </c>
    </row>
    <row r="116" spans="1:12" x14ac:dyDescent="0.15">
      <c r="A116" s="35" t="s">
        <v>708</v>
      </c>
      <c r="B116" s="35"/>
      <c r="C116" s="35"/>
      <c r="D116" s="35"/>
      <c r="E116" s="210">
        <f ca="1">J111/($F$36-$F$29)*I113</f>
        <v>260291.63365103479</v>
      </c>
      <c r="F116" s="210"/>
      <c r="G116" s="35"/>
      <c r="H116" s="35"/>
      <c r="I116" s="35"/>
      <c r="J116" s="35"/>
      <c r="K116" s="301"/>
      <c r="L116" s="301" t="s">
        <v>739</v>
      </c>
    </row>
    <row r="117" spans="1:12" x14ac:dyDescent="0.15">
      <c r="A117" s="35" t="s">
        <v>710</v>
      </c>
      <c r="B117" s="35"/>
      <c r="C117" s="35"/>
      <c r="D117" s="35"/>
      <c r="E117" s="210">
        <f ca="1">E115+E116</f>
        <v>278376.77698199044</v>
      </c>
      <c r="F117" s="210"/>
      <c r="G117" s="35"/>
      <c r="H117" s="35"/>
      <c r="I117" s="35"/>
      <c r="J117" s="35"/>
      <c r="K117" s="301"/>
      <c r="L117" s="301"/>
    </row>
    <row r="118" spans="1:12" x14ac:dyDescent="0.15">
      <c r="A118" s="35" t="s">
        <v>711</v>
      </c>
      <c r="B118" s="35"/>
      <c r="C118" s="35"/>
      <c r="D118" s="35"/>
      <c r="E118" s="215">
        <f>(1+$F$36/2)</f>
        <v>1.03</v>
      </c>
      <c r="F118" s="35"/>
      <c r="G118" s="35"/>
      <c r="H118" s="35"/>
      <c r="I118" s="35"/>
      <c r="J118" s="35"/>
      <c r="K118" s="301"/>
      <c r="L118" s="301" t="s">
        <v>712</v>
      </c>
    </row>
    <row r="119" spans="1:12" x14ac:dyDescent="0.15">
      <c r="A119" s="35" t="s">
        <v>740</v>
      </c>
      <c r="B119" s="35"/>
      <c r="C119" s="35"/>
      <c r="D119" s="35"/>
      <c r="E119" s="210">
        <f ca="1">E117*E118</f>
        <v>286728.08029145014</v>
      </c>
      <c r="F119" s="35"/>
      <c r="G119" s="35"/>
      <c r="H119" s="35"/>
      <c r="I119" s="35"/>
      <c r="J119" s="35"/>
      <c r="K119" s="301"/>
      <c r="L119" s="301"/>
    </row>
    <row r="120" spans="1:12" x14ac:dyDescent="0.15">
      <c r="A120" s="35" t="s">
        <v>714</v>
      </c>
      <c r="B120" s="35"/>
      <c r="C120" s="35"/>
      <c r="D120" s="35"/>
      <c r="E120" s="210">
        <f>$F$25</f>
        <v>534.31202099999996</v>
      </c>
      <c r="F120" s="35"/>
      <c r="G120" s="35"/>
      <c r="H120" s="35"/>
      <c r="I120" s="35"/>
      <c r="J120" s="35"/>
      <c r="K120" s="301"/>
      <c r="L120" s="301"/>
    </row>
    <row r="121" spans="1:12" x14ac:dyDescent="0.15">
      <c r="A121" s="35" t="s">
        <v>715</v>
      </c>
      <c r="B121" s="35"/>
      <c r="C121" s="35"/>
      <c r="D121" s="35"/>
      <c r="E121" s="489">
        <f ca="1">E119/E120</f>
        <v>536.63041260950808</v>
      </c>
      <c r="F121" s="35"/>
      <c r="G121" s="35"/>
      <c r="H121" s="35"/>
      <c r="I121" s="35"/>
      <c r="J121" s="35"/>
      <c r="K121" s="301"/>
      <c r="L121" s="301" t="s">
        <v>716</v>
      </c>
    </row>
    <row r="122" spans="1:12" x14ac:dyDescent="0.15">
      <c r="A122" s="35"/>
      <c r="B122" s="35"/>
      <c r="C122" s="35"/>
      <c r="D122" s="35"/>
      <c r="E122" s="35"/>
      <c r="F122" s="35"/>
      <c r="G122" s="35"/>
      <c r="H122" s="35"/>
      <c r="I122" s="35"/>
      <c r="J122" s="35"/>
      <c r="K122" s="301"/>
      <c r="L122" s="301"/>
    </row>
    <row r="123" spans="1:12" x14ac:dyDescent="0.15">
      <c r="A123" s="35" t="s">
        <v>624</v>
      </c>
      <c r="B123" s="35"/>
      <c r="C123" s="35"/>
      <c r="D123" s="35"/>
      <c r="E123" s="211">
        <f>$F$24</f>
        <v>341.85</v>
      </c>
      <c r="F123" s="35"/>
      <c r="G123" s="35"/>
      <c r="H123" s="35"/>
      <c r="I123" s="35"/>
      <c r="J123" s="35"/>
      <c r="K123" s="301"/>
      <c r="L123" s="301"/>
    </row>
    <row r="124" spans="1:12" x14ac:dyDescent="0.15">
      <c r="A124" s="35" t="s">
        <v>717</v>
      </c>
      <c r="B124" s="35"/>
      <c r="C124" s="35"/>
      <c r="D124" s="35"/>
      <c r="E124" s="246">
        <f ca="1">E121/E123-1</f>
        <v>0.56978327514848037</v>
      </c>
      <c r="F124" s="35"/>
      <c r="G124" s="35"/>
      <c r="H124" s="35"/>
      <c r="I124" s="35"/>
      <c r="J124" s="35"/>
      <c r="K124" s="301"/>
      <c r="L124" s="301" t="s">
        <v>718</v>
      </c>
    </row>
    <row r="125" spans="1:12" ht="14" thickBot="1" x14ac:dyDescent="0.2">
      <c r="A125" s="202"/>
      <c r="B125" s="212"/>
      <c r="C125" s="212"/>
      <c r="D125" s="212"/>
      <c r="E125" s="212"/>
      <c r="F125" s="212"/>
      <c r="G125" s="212"/>
      <c r="H125" s="202"/>
      <c r="I125" s="202"/>
      <c r="J125" s="202"/>
      <c r="K125" s="301"/>
      <c r="L125" s="301"/>
    </row>
    <row r="126" spans="1:12" ht="14" thickTop="1" x14ac:dyDescent="0.15">
      <c r="A126" s="35"/>
      <c r="B126" s="216"/>
      <c r="C126" s="216"/>
      <c r="D126" s="216"/>
      <c r="E126" s="216"/>
      <c r="F126" s="216"/>
      <c r="G126" s="216"/>
      <c r="H126" s="35"/>
      <c r="I126" s="35"/>
      <c r="J126" s="35"/>
      <c r="K126" s="301"/>
      <c r="L126" s="301"/>
    </row>
    <row r="127" spans="1:12" ht="14" thickBot="1" x14ac:dyDescent="0.2">
      <c r="A127" s="202"/>
      <c r="B127" s="212"/>
      <c r="C127" s="212"/>
      <c r="D127" s="212"/>
      <c r="E127" s="212"/>
      <c r="F127" s="212"/>
      <c r="G127" s="212"/>
      <c r="H127" s="202"/>
      <c r="I127" s="202"/>
      <c r="J127" s="202"/>
      <c r="K127" s="301"/>
      <c r="L127" s="301"/>
    </row>
    <row r="128" spans="1:12" ht="14" thickTop="1" x14ac:dyDescent="0.15">
      <c r="A128" s="311" t="s">
        <v>414</v>
      </c>
      <c r="B128" s="479"/>
      <c r="C128" s="203" t="str">
        <f>C18</f>
        <v>VALUATION MODELS</v>
      </c>
      <c r="D128" s="203"/>
      <c r="E128" s="480"/>
      <c r="F128" s="480"/>
      <c r="G128" s="480"/>
      <c r="H128" s="480"/>
      <c r="I128" s="480"/>
      <c r="J128" s="481"/>
      <c r="K128" s="301"/>
      <c r="L128" s="301"/>
    </row>
    <row r="129" spans="1:19" x14ac:dyDescent="0.15">
      <c r="A129" s="310" t="str">
        <f>Data!$A$9</f>
        <v>Analyst Name:</v>
      </c>
      <c r="B129" s="477"/>
      <c r="C129" s="84" t="str">
        <f>Data!$B$9</f>
        <v>Durdona Karimova &amp; Vincenzo Giordano</v>
      </c>
      <c r="D129" s="85"/>
      <c r="E129" s="429"/>
      <c r="F129" s="431"/>
      <c r="G129" s="431"/>
      <c r="H129" s="431"/>
      <c r="I129" s="431"/>
      <c r="J129" s="431"/>
      <c r="K129" s="301"/>
      <c r="L129" s="301"/>
      <c r="M129" s="301"/>
      <c r="N129" s="301"/>
      <c r="O129" s="301"/>
      <c r="P129" s="301"/>
      <c r="Q129" s="301"/>
      <c r="R129" s="301"/>
      <c r="S129" s="301"/>
    </row>
    <row r="130" spans="1:19" x14ac:dyDescent="0.15">
      <c r="A130" s="310" t="str">
        <f>Data!$A$10</f>
        <v>Company Name:</v>
      </c>
      <c r="B130" s="478"/>
      <c r="C130" s="84" t="str">
        <f>Data!$B$10</f>
        <v>L'Oreal</v>
      </c>
      <c r="D130" s="429"/>
      <c r="E130" s="436"/>
      <c r="F130" s="431"/>
      <c r="G130" s="431"/>
      <c r="H130" s="431"/>
      <c r="I130" s="431"/>
      <c r="J130" s="431"/>
      <c r="K130" s="301"/>
      <c r="L130" s="301"/>
      <c r="M130" s="301"/>
      <c r="N130" s="301"/>
      <c r="O130" s="301"/>
      <c r="P130" s="301"/>
      <c r="Q130" s="301"/>
      <c r="R130" s="301"/>
      <c r="S130" s="301"/>
    </row>
    <row r="131" spans="1:19" x14ac:dyDescent="0.15">
      <c r="A131" s="147"/>
      <c r="B131" s="35"/>
      <c r="C131" s="35"/>
      <c r="D131" s="35"/>
      <c r="E131" s="35"/>
      <c r="F131" s="216"/>
      <c r="G131" s="216"/>
      <c r="H131" s="216"/>
      <c r="I131" s="216"/>
      <c r="J131" s="216"/>
      <c r="K131" s="301"/>
      <c r="L131" s="301"/>
      <c r="M131" s="301"/>
      <c r="N131" s="301"/>
      <c r="O131" s="301"/>
      <c r="P131" s="301"/>
      <c r="Q131" s="301"/>
      <c r="R131" s="301"/>
      <c r="S131" s="301"/>
    </row>
    <row r="132" spans="1:19" x14ac:dyDescent="0.15">
      <c r="A132" s="217" t="s">
        <v>741</v>
      </c>
      <c r="B132" s="217"/>
      <c r="C132" s="217"/>
      <c r="D132" s="217"/>
      <c r="E132" s="217"/>
      <c r="F132" s="218"/>
      <c r="G132" s="218"/>
      <c r="H132" s="218"/>
      <c r="I132" s="218"/>
      <c r="J132" s="218"/>
      <c r="K132" s="301"/>
      <c r="L132" s="301"/>
      <c r="M132" s="301"/>
      <c r="N132" s="301"/>
      <c r="O132" s="301"/>
      <c r="P132" s="301"/>
      <c r="Q132" s="301"/>
      <c r="R132" s="301"/>
      <c r="S132" s="301"/>
    </row>
    <row r="133" spans="1:19" x14ac:dyDescent="0.15">
      <c r="A133" s="35"/>
      <c r="B133" s="70"/>
      <c r="C133" s="35"/>
      <c r="D133" s="70"/>
      <c r="E133" s="70"/>
      <c r="F133" s="70"/>
      <c r="G133" s="70"/>
      <c r="H133" s="70"/>
      <c r="I133" s="70"/>
      <c r="J133" s="70"/>
      <c r="K133" s="301"/>
      <c r="L133" s="301"/>
      <c r="M133" s="301"/>
      <c r="N133" s="301"/>
      <c r="O133" s="301"/>
      <c r="P133" s="301"/>
      <c r="Q133" s="301"/>
      <c r="R133" s="301"/>
      <c r="S133" s="301"/>
    </row>
    <row r="134" spans="1:19" x14ac:dyDescent="0.15">
      <c r="A134" s="35"/>
      <c r="B134" s="35"/>
      <c r="C134" s="219" t="s">
        <v>742</v>
      </c>
      <c r="D134" s="35"/>
      <c r="E134" s="35"/>
      <c r="F134" s="35"/>
      <c r="G134" s="35"/>
      <c r="H134" s="35"/>
      <c r="I134" s="35"/>
      <c r="J134" s="35"/>
      <c r="K134" s="301"/>
      <c r="L134" s="37" t="s">
        <v>743</v>
      </c>
      <c r="M134" s="301"/>
      <c r="N134" s="301"/>
      <c r="O134" s="301"/>
      <c r="P134" s="301"/>
      <c r="Q134" s="301"/>
      <c r="R134" s="301"/>
      <c r="S134" s="301"/>
    </row>
    <row r="135" spans="1:19" x14ac:dyDescent="0.15">
      <c r="A135" s="35"/>
      <c r="B135" s="490">
        <f ca="1">E121</f>
        <v>536.63041260950808</v>
      </c>
      <c r="C135" s="296">
        <v>0</v>
      </c>
      <c r="D135" s="297">
        <v>0.01</v>
      </c>
      <c r="E135" s="297">
        <v>0.02</v>
      </c>
      <c r="F135" s="297">
        <v>2.5000000000000001E-2</v>
      </c>
      <c r="G135" s="297">
        <v>0.03</v>
      </c>
      <c r="H135" s="297">
        <v>3.5000000000000003E-2</v>
      </c>
      <c r="I135" s="297">
        <v>0.04</v>
      </c>
      <c r="J135" s="297">
        <v>0.05</v>
      </c>
      <c r="K135" s="301"/>
      <c r="L135" s="301" t="s">
        <v>744</v>
      </c>
      <c r="M135" s="301"/>
      <c r="N135" s="301"/>
      <c r="O135" s="301"/>
      <c r="P135" s="301"/>
      <c r="Q135" s="301"/>
      <c r="R135" s="301"/>
      <c r="S135" s="301"/>
    </row>
    <row r="136" spans="1:19" x14ac:dyDescent="0.15">
      <c r="A136" s="225" t="s">
        <v>745</v>
      </c>
      <c r="B136" s="317">
        <v>0.05</v>
      </c>
      <c r="C136" s="216">
        <f t="dataTable" ref="C136:J149" dt2D="1" dtr="0" r1="F29" r2="F36" ca="1"/>
        <v>292.98793235950967</v>
      </c>
      <c r="D136" s="216">
        <v>342.35489747283185</v>
      </c>
      <c r="E136" s="216">
        <v>424.6331726617023</v>
      </c>
      <c r="F136" s="216">
        <v>490.45579281279805</v>
      </c>
      <c r="G136" s="216">
        <v>589.18972303944236</v>
      </c>
      <c r="H136" s="216">
        <v>753.74627341718588</v>
      </c>
      <c r="I136" s="216">
        <v>1082.8593741726652</v>
      </c>
      <c r="J136" s="216" t="e">
        <v>#DIV/0!</v>
      </c>
      <c r="K136" s="301"/>
      <c r="L136" s="301"/>
      <c r="M136" s="301"/>
      <c r="N136" s="301"/>
      <c r="O136" s="301"/>
      <c r="P136" s="301"/>
      <c r="Q136" s="301"/>
      <c r="R136" s="301"/>
      <c r="S136" s="301"/>
    </row>
    <row r="137" spans="1:19" x14ac:dyDescent="0.15">
      <c r="A137" s="225" t="s">
        <v>746</v>
      </c>
      <c r="B137" s="318">
        <v>5.2499999999999998E-2</v>
      </c>
      <c r="C137" s="216">
        <v>277.91733779478255</v>
      </c>
      <c r="D137" s="216">
        <v>321.03526654803335</v>
      </c>
      <c r="E137" s="216">
        <v>390.68730530328486</v>
      </c>
      <c r="F137" s="216">
        <v>444.50933525052426</v>
      </c>
      <c r="G137" s="216">
        <v>522.25226739653704</v>
      </c>
      <c r="H137" s="216">
        <v>644.41973219741715</v>
      </c>
      <c r="I137" s="216">
        <v>864.32116883899516</v>
      </c>
      <c r="J137" s="216">
        <v>3942.9412818211049</v>
      </c>
      <c r="K137" s="301"/>
      <c r="L137" s="301"/>
      <c r="M137" s="301"/>
      <c r="N137" s="301"/>
      <c r="O137" s="301"/>
      <c r="P137" s="301"/>
      <c r="Q137" s="301"/>
      <c r="R137" s="301"/>
      <c r="S137" s="301"/>
    </row>
    <row r="138" spans="1:19" x14ac:dyDescent="0.15">
      <c r="A138" s="35"/>
      <c r="B138" s="318">
        <v>5.5E-2</v>
      </c>
      <c r="C138" s="216">
        <v>264.23164444180043</v>
      </c>
      <c r="D138" s="216">
        <v>302.10027320774566</v>
      </c>
      <c r="E138" s="216">
        <v>361.60811841137394</v>
      </c>
      <c r="F138" s="216">
        <v>406.23900231409459</v>
      </c>
      <c r="G138" s="220">
        <v>468.72223977790406</v>
      </c>
      <c r="H138" s="216">
        <v>562.44709597362055</v>
      </c>
      <c r="I138" s="216">
        <v>718.65518963314321</v>
      </c>
      <c r="J138" s="216">
        <v>1968.3199389093304</v>
      </c>
      <c r="K138" s="301"/>
      <c r="L138" s="301"/>
      <c r="M138" s="301"/>
      <c r="N138" s="301"/>
      <c r="O138" s="301"/>
      <c r="P138" s="301"/>
      <c r="Q138" s="301"/>
      <c r="R138" s="301"/>
      <c r="S138" s="301"/>
    </row>
    <row r="139" spans="1:19" x14ac:dyDescent="0.15">
      <c r="A139" s="35"/>
      <c r="B139" s="318">
        <v>5.7500000000000002E-2</v>
      </c>
      <c r="C139" s="216">
        <v>251.75000058533817</v>
      </c>
      <c r="D139" s="216">
        <v>285.17317226529298</v>
      </c>
      <c r="E139" s="216">
        <v>336.42203550789031</v>
      </c>
      <c r="F139" s="216">
        <v>373.87312787748021</v>
      </c>
      <c r="G139" s="216">
        <v>424.9427992905579</v>
      </c>
      <c r="H139" s="220">
        <v>498.71010244278301</v>
      </c>
      <c r="I139" s="216">
        <v>614.63015025341883</v>
      </c>
      <c r="J139" s="216">
        <v>1310.1504371172357</v>
      </c>
      <c r="K139" s="301"/>
      <c r="L139" s="301"/>
      <c r="M139" s="301"/>
      <c r="N139" s="301"/>
      <c r="O139" s="301"/>
      <c r="P139" s="301"/>
      <c r="Q139" s="301"/>
      <c r="R139" s="301"/>
      <c r="S139" s="301"/>
    </row>
    <row r="140" spans="1:19" x14ac:dyDescent="0.15">
      <c r="A140" s="35"/>
      <c r="B140" s="318">
        <v>0.06</v>
      </c>
      <c r="C140" s="216">
        <v>240.32170002696193</v>
      </c>
      <c r="D140" s="216">
        <v>269.95257128521655</v>
      </c>
      <c r="E140" s="216">
        <v>314.39887817259853</v>
      </c>
      <c r="F140" s="216">
        <v>346.14624023501369</v>
      </c>
      <c r="G140" s="491">
        <v>388.4760563182345</v>
      </c>
      <c r="H140" s="216">
        <v>447.73779883474538</v>
      </c>
      <c r="I140" s="216">
        <v>536.63041260950808</v>
      </c>
      <c r="J140" s="216">
        <v>981.09348148332447</v>
      </c>
      <c r="K140" s="301"/>
      <c r="L140" s="301"/>
      <c r="M140" s="301"/>
      <c r="N140" s="301"/>
      <c r="O140" s="301"/>
      <c r="P140" s="301"/>
      <c r="Q140" s="301"/>
      <c r="R140" s="301"/>
      <c r="S140" s="301"/>
    </row>
    <row r="141" spans="1:19" x14ac:dyDescent="0.15">
      <c r="A141" s="35"/>
      <c r="B141" s="318">
        <v>6.25E-2</v>
      </c>
      <c r="C141" s="216">
        <v>229.82015291334406</v>
      </c>
      <c r="D141" s="216">
        <v>256.19448938143972</v>
      </c>
      <c r="E141" s="216">
        <v>294.98027830510995</v>
      </c>
      <c r="F141" s="216">
        <v>322.13033055167864</v>
      </c>
      <c r="G141" s="216">
        <v>357.63424502796124</v>
      </c>
      <c r="H141" s="216">
        <v>406.04867385925729</v>
      </c>
      <c r="I141" s="216">
        <v>475.98062661557066</v>
      </c>
      <c r="J141" s="216">
        <v>783.68121874335156</v>
      </c>
      <c r="K141" s="301"/>
      <c r="L141" s="301"/>
      <c r="M141" s="301"/>
      <c r="N141" s="301"/>
      <c r="O141" s="301"/>
      <c r="P141" s="301"/>
      <c r="Q141" s="301"/>
      <c r="R141" s="301"/>
      <c r="S141" s="301"/>
    </row>
    <row r="142" spans="1:19" x14ac:dyDescent="0.15">
      <c r="A142" s="35"/>
      <c r="B142" s="318">
        <v>6.5000000000000002E-2</v>
      </c>
      <c r="C142" s="216">
        <v>220.13824791336091</v>
      </c>
      <c r="D142" s="216">
        <v>243.69930907198784</v>
      </c>
      <c r="E142" s="216">
        <v>277.73195296778232</v>
      </c>
      <c r="F142" s="216">
        <v>301.12939564614078</v>
      </c>
      <c r="G142" s="216">
        <v>331.2118219468876</v>
      </c>
      <c r="H142" s="216">
        <v>371.3217236812182</v>
      </c>
      <c r="I142" s="216">
        <v>427.47558610927825</v>
      </c>
      <c r="J142" s="216">
        <v>652.09103582151988</v>
      </c>
      <c r="K142" s="301"/>
      <c r="L142" s="301"/>
      <c r="M142" s="301"/>
      <c r="N142" s="301"/>
      <c r="O142" s="301"/>
      <c r="P142" s="301"/>
      <c r="Q142" s="301"/>
      <c r="R142" s="301"/>
      <c r="S142" s="301"/>
    </row>
    <row r="143" spans="1:19" x14ac:dyDescent="0.15">
      <c r="A143" s="35"/>
      <c r="B143" s="318">
        <v>6.7500000000000004E-2</v>
      </c>
      <c r="C143" s="216">
        <v>211.18474502388224</v>
      </c>
      <c r="D143" s="216">
        <v>232.30213199909898</v>
      </c>
      <c r="E143" s="216">
        <v>262.31105033230187</v>
      </c>
      <c r="F143" s="216">
        <v>282.61120096946809</v>
      </c>
      <c r="G143" s="216">
        <v>308.32472510987907</v>
      </c>
      <c r="H143" s="216">
        <v>341.95010283195626</v>
      </c>
      <c r="I143" s="216">
        <v>387.80289063478631</v>
      </c>
      <c r="J143" s="216">
        <v>558.11324533101356</v>
      </c>
      <c r="K143" s="301"/>
      <c r="L143" s="301"/>
      <c r="M143" s="301"/>
      <c r="N143" s="301"/>
      <c r="O143" s="301"/>
      <c r="P143" s="301"/>
      <c r="Q143" s="301"/>
      <c r="R143" s="301"/>
      <c r="S143" s="301"/>
    </row>
    <row r="144" spans="1:19" x14ac:dyDescent="0.15">
      <c r="A144" s="35"/>
      <c r="B144" s="318">
        <v>7.0000000000000007E-2</v>
      </c>
      <c r="C144" s="216">
        <v>202.88144134704729</v>
      </c>
      <c r="D144" s="216">
        <v>221.86554572062204</v>
      </c>
      <c r="E144" s="216">
        <v>248.44329184362684</v>
      </c>
      <c r="F144" s="216">
        <v>266.16178925896298</v>
      </c>
      <c r="G144" s="220">
        <v>288.30991102813351</v>
      </c>
      <c r="H144" s="216">
        <v>316.78606758849685</v>
      </c>
      <c r="I144" s="216">
        <v>354.75427633564567</v>
      </c>
      <c r="J144" s="216">
        <v>487.64300695066783</v>
      </c>
      <c r="K144" s="301"/>
      <c r="L144" s="301"/>
      <c r="M144" s="301"/>
      <c r="N144" s="94"/>
      <c r="O144" s="94"/>
      <c r="P144" s="94"/>
      <c r="Q144" s="94"/>
      <c r="R144" s="94"/>
      <c r="S144" s="94"/>
    </row>
    <row r="145" spans="1:21" x14ac:dyDescent="0.15">
      <c r="A145" s="35"/>
      <c r="B145" s="318">
        <v>7.2499999999999995E-2</v>
      </c>
      <c r="C145" s="216">
        <v>195.16092325967199</v>
      </c>
      <c r="D145" s="216">
        <v>212.27412647270944</v>
      </c>
      <c r="E145" s="216">
        <v>235.90664519547548</v>
      </c>
      <c r="F145" s="216">
        <v>251.4543548815054</v>
      </c>
      <c r="G145" s="216">
        <v>270.66034919954274</v>
      </c>
      <c r="H145" s="216">
        <v>294.98794200239115</v>
      </c>
      <c r="I145" s="216">
        <v>326.80094797534468</v>
      </c>
      <c r="J145" s="216">
        <v>432.84430121852415</v>
      </c>
      <c r="K145" s="301"/>
      <c r="L145" s="301"/>
      <c r="M145" s="301"/>
      <c r="N145" s="483"/>
      <c r="O145" s="484"/>
      <c r="P145" s="484"/>
      <c r="Q145" s="484"/>
      <c r="R145" s="484"/>
      <c r="S145" s="484"/>
      <c r="T145" s="301"/>
      <c r="U145" s="301"/>
    </row>
    <row r="146" spans="1:21" x14ac:dyDescent="0.15">
      <c r="A146" s="35"/>
      <c r="B146" s="318">
        <v>7.4999999999999997E-2</v>
      </c>
      <c r="C146" s="216">
        <v>187.9647681499271</v>
      </c>
      <c r="D146" s="216">
        <v>203.43021052688783</v>
      </c>
      <c r="E146" s="216">
        <v>224.51945013183442</v>
      </c>
      <c r="F146" s="216">
        <v>238.22745587504937</v>
      </c>
      <c r="G146" s="216">
        <v>254.98168511675686</v>
      </c>
      <c r="H146" s="216">
        <v>275.92447166889218</v>
      </c>
      <c r="I146" s="216">
        <v>302.85091152163579</v>
      </c>
      <c r="J146" s="216">
        <v>389.01551905041617</v>
      </c>
      <c r="K146" s="301"/>
      <c r="L146" s="301"/>
      <c r="M146" s="377"/>
      <c r="N146" s="485"/>
      <c r="O146" s="485"/>
      <c r="P146" s="485"/>
      <c r="Q146" s="485"/>
      <c r="R146" s="485"/>
      <c r="S146" s="485"/>
      <c r="T146" s="301"/>
      <c r="U146" s="301"/>
    </row>
    <row r="147" spans="1:21" x14ac:dyDescent="0.15">
      <c r="A147" s="35"/>
      <c r="B147" s="318">
        <v>0.08</v>
      </c>
      <c r="C147" s="216">
        <v>174.94838212082277</v>
      </c>
      <c r="D147" s="216">
        <v>187.66400491861356</v>
      </c>
      <c r="E147" s="216">
        <v>204.61816864900132</v>
      </c>
      <c r="F147" s="216">
        <v>215.40718193197506</v>
      </c>
      <c r="G147" s="216">
        <v>228.35399787154384</v>
      </c>
      <c r="H147" s="216">
        <v>244.17788401990649</v>
      </c>
      <c r="I147" s="216">
        <v>263.95774170535833</v>
      </c>
      <c r="J147" s="216">
        <v>323.29731476171429</v>
      </c>
      <c r="K147" s="301"/>
      <c r="L147" s="301"/>
      <c r="M147" s="377"/>
      <c r="N147" s="485"/>
      <c r="O147" s="485"/>
      <c r="P147" s="485"/>
      <c r="Q147" s="485"/>
      <c r="R147" s="485"/>
      <c r="S147" s="485"/>
      <c r="T147" s="301"/>
      <c r="U147" s="485"/>
    </row>
    <row r="148" spans="1:21" x14ac:dyDescent="0.15">
      <c r="A148" s="35"/>
      <c r="B148" s="318">
        <v>8.5000000000000006E-2</v>
      </c>
      <c r="C148" s="216">
        <v>163.49596459382417</v>
      </c>
      <c r="D148" s="216">
        <v>174.03214371148007</v>
      </c>
      <c r="E148" s="216">
        <v>187.81022409610711</v>
      </c>
      <c r="F148" s="216">
        <v>196.42152433649875</v>
      </c>
      <c r="G148" s="216">
        <v>206.59851552968917</v>
      </c>
      <c r="H148" s="216">
        <v>218.8109049615183</v>
      </c>
      <c r="I148" s="216">
        <v>233.73715871153038</v>
      </c>
      <c r="J148" s="216">
        <v>276.38359799727982</v>
      </c>
      <c r="K148" s="301"/>
      <c r="L148" s="301"/>
      <c r="M148" s="377"/>
      <c r="N148" s="484"/>
      <c r="O148" s="484"/>
      <c r="P148" s="484"/>
      <c r="Q148" s="484"/>
      <c r="R148" s="484"/>
      <c r="S148" s="484"/>
      <c r="T148" s="301"/>
      <c r="U148" s="301"/>
    </row>
    <row r="149" spans="1:21" x14ac:dyDescent="0.15">
      <c r="A149" s="35"/>
      <c r="B149" s="318">
        <v>0.09</v>
      </c>
      <c r="C149" s="216">
        <v>153.34596553430478</v>
      </c>
      <c r="D149" s="216">
        <v>162.13356844963653</v>
      </c>
      <c r="E149" s="216">
        <v>173.43191505506326</v>
      </c>
      <c r="F149" s="216">
        <v>180.38474373532551</v>
      </c>
      <c r="G149" s="216">
        <v>188.49637719563182</v>
      </c>
      <c r="H149" s="216">
        <v>198.08285310326718</v>
      </c>
      <c r="I149" s="216">
        <v>209.58662419242839</v>
      </c>
      <c r="J149" s="216">
        <v>241.22199468762224</v>
      </c>
      <c r="K149" s="301"/>
      <c r="L149" s="301"/>
      <c r="M149" s="301"/>
      <c r="N149" s="301"/>
      <c r="O149" s="301"/>
      <c r="P149" s="301"/>
      <c r="Q149" s="301"/>
      <c r="R149" s="301"/>
      <c r="S149" s="301"/>
      <c r="T149" s="301"/>
      <c r="U149" s="301"/>
    </row>
    <row r="150" spans="1:21" x14ac:dyDescent="0.15">
      <c r="A150" s="35"/>
      <c r="B150" s="221"/>
      <c r="C150" s="216"/>
      <c r="D150" s="216"/>
      <c r="E150" s="216"/>
      <c r="F150" s="216"/>
      <c r="G150" s="216"/>
      <c r="H150" s="216"/>
      <c r="I150" s="216"/>
      <c r="J150" s="216"/>
      <c r="K150" s="301"/>
      <c r="L150" s="301"/>
      <c r="M150" s="301"/>
      <c r="N150" s="301"/>
      <c r="O150" s="301"/>
      <c r="P150" s="301"/>
      <c r="Q150" s="301"/>
      <c r="R150" s="301"/>
      <c r="S150" s="301"/>
      <c r="T150" s="301"/>
      <c r="U150" s="301"/>
    </row>
    <row r="151" spans="1:21" ht="14" thickBot="1" x14ac:dyDescent="0.2">
      <c r="A151" s="202"/>
      <c r="B151" s="222"/>
      <c r="C151" s="212"/>
      <c r="D151" s="212"/>
      <c r="E151" s="212"/>
      <c r="F151" s="212"/>
      <c r="G151" s="212"/>
      <c r="H151" s="212"/>
      <c r="I151" s="212"/>
      <c r="J151" s="212"/>
      <c r="K151" s="301"/>
      <c r="L151" s="301"/>
      <c r="M151" s="301"/>
      <c r="N151" s="301"/>
      <c r="O151" s="301"/>
      <c r="P151" s="301"/>
      <c r="Q151" s="301"/>
      <c r="R151" s="301"/>
      <c r="S151" s="301"/>
      <c r="T151" s="301"/>
      <c r="U151" s="301"/>
    </row>
    <row r="152" spans="1:21" ht="14" thickTop="1" x14ac:dyDescent="0.15">
      <c r="A152" s="35"/>
      <c r="B152" s="35"/>
      <c r="C152" s="35"/>
      <c r="D152" s="35"/>
      <c r="E152" s="35"/>
      <c r="F152" s="35"/>
      <c r="G152" s="35"/>
      <c r="H152" s="35"/>
      <c r="I152" s="35"/>
      <c r="J152" s="35"/>
      <c r="K152" s="301"/>
      <c r="L152" s="301"/>
      <c r="M152" s="486"/>
      <c r="N152" s="301"/>
      <c r="O152" s="486"/>
      <c r="P152" s="301"/>
      <c r="Q152" s="301"/>
      <c r="R152" s="301"/>
      <c r="S152" s="301"/>
      <c r="T152" s="301"/>
      <c r="U152" s="301"/>
    </row>
    <row r="153" spans="1:21" ht="14" thickBot="1" x14ac:dyDescent="0.2">
      <c r="A153" s="202"/>
      <c r="B153" s="222"/>
      <c r="C153" s="212"/>
      <c r="D153" s="212"/>
      <c r="E153" s="212"/>
      <c r="F153" s="212"/>
      <c r="G153" s="212"/>
      <c r="H153" s="212"/>
      <c r="I153" s="212"/>
      <c r="J153" s="212"/>
      <c r="K153" s="301"/>
      <c r="L153" s="301"/>
      <c r="M153" s="301"/>
      <c r="N153" s="301"/>
      <c r="O153" s="301"/>
      <c r="P153" s="301"/>
      <c r="Q153" s="301"/>
      <c r="R153" s="301"/>
      <c r="S153" s="301"/>
      <c r="T153" s="301"/>
      <c r="U153" s="301"/>
    </row>
    <row r="154" spans="1:21" ht="14" thickTop="1" x14ac:dyDescent="0.15">
      <c r="A154" s="311" t="s">
        <v>414</v>
      </c>
      <c r="B154" s="479"/>
      <c r="C154" s="203" t="str">
        <f>C18</f>
        <v>VALUATION MODELS</v>
      </c>
      <c r="D154" s="203"/>
      <c r="E154" s="480"/>
      <c r="F154" s="480"/>
      <c r="G154" s="480"/>
      <c r="H154" s="480"/>
      <c r="I154" s="480"/>
      <c r="J154" s="481"/>
      <c r="K154" s="301"/>
      <c r="L154" s="301"/>
      <c r="M154" s="301"/>
      <c r="N154" s="301"/>
      <c r="O154" s="301"/>
      <c r="P154" s="301"/>
      <c r="Q154" s="301"/>
      <c r="R154" s="301"/>
      <c r="S154" s="301"/>
      <c r="T154" s="301"/>
      <c r="U154" s="301"/>
    </row>
    <row r="155" spans="1:21" x14ac:dyDescent="0.15">
      <c r="A155" s="310" t="str">
        <f>Data!$A$9</f>
        <v>Analyst Name:</v>
      </c>
      <c r="B155" s="477"/>
      <c r="C155" s="84" t="str">
        <f>Data!$B$9</f>
        <v>Durdona Karimova &amp; Vincenzo Giordano</v>
      </c>
      <c r="D155" s="85"/>
      <c r="E155" s="429"/>
      <c r="F155" s="431"/>
      <c r="G155" s="431"/>
      <c r="H155" s="431"/>
      <c r="I155" s="431"/>
      <c r="J155" s="431"/>
      <c r="K155" s="301"/>
      <c r="L155" s="301"/>
      <c r="M155" s="301"/>
      <c r="N155" s="301"/>
      <c r="O155" s="301"/>
      <c r="P155" s="301"/>
      <c r="Q155" s="301"/>
      <c r="R155" s="301"/>
      <c r="S155" s="301"/>
      <c r="T155" s="301"/>
      <c r="U155" s="301"/>
    </row>
    <row r="156" spans="1:21" x14ac:dyDescent="0.15">
      <c r="A156" s="310" t="str">
        <f>Data!$A$10</f>
        <v>Company Name:</v>
      </c>
      <c r="B156" s="478"/>
      <c r="C156" s="84" t="str">
        <f>Data!$B$10</f>
        <v>L'Oreal</v>
      </c>
      <c r="D156" s="429"/>
      <c r="E156" s="436"/>
      <c r="F156" s="431"/>
      <c r="G156" s="431"/>
      <c r="H156" s="431"/>
      <c r="I156" s="431"/>
      <c r="J156" s="431"/>
      <c r="K156" s="301"/>
      <c r="L156" s="301"/>
      <c r="M156" s="301"/>
      <c r="N156" s="301"/>
      <c r="O156" s="301"/>
      <c r="P156" s="301"/>
      <c r="Q156" s="301"/>
      <c r="R156" s="301"/>
      <c r="S156" s="301"/>
      <c r="T156" s="301"/>
      <c r="U156" s="301"/>
    </row>
    <row r="157" spans="1:21" x14ac:dyDescent="0.15">
      <c r="A157" s="147"/>
      <c r="B157" s="35"/>
      <c r="C157" s="35"/>
      <c r="D157" s="35"/>
      <c r="E157" s="35"/>
      <c r="F157" s="35"/>
      <c r="G157" s="35"/>
      <c r="H157" s="35"/>
      <c r="I157" s="35"/>
      <c r="J157" s="70" t="s">
        <v>690</v>
      </c>
      <c r="K157" s="301"/>
      <c r="L157" s="301"/>
      <c r="M157" s="301"/>
      <c r="N157" s="301"/>
      <c r="O157" s="301"/>
      <c r="P157" s="301"/>
      <c r="Q157" s="301"/>
      <c r="R157" s="301"/>
      <c r="S157" s="301"/>
      <c r="T157" s="301"/>
      <c r="U157" s="301"/>
    </row>
    <row r="158" spans="1:21" x14ac:dyDescent="0.15">
      <c r="A158" s="35"/>
      <c r="B158" s="35"/>
      <c r="C158" s="35"/>
      <c r="D158" s="35"/>
      <c r="E158" s="204">
        <v>1</v>
      </c>
      <c r="F158" s="204">
        <v>2</v>
      </c>
      <c r="G158" s="204">
        <v>3</v>
      </c>
      <c r="H158" s="204">
        <v>4</v>
      </c>
      <c r="I158" s="204">
        <v>5</v>
      </c>
      <c r="J158" s="70" t="s">
        <v>691</v>
      </c>
      <c r="K158" s="301"/>
      <c r="L158" s="37" t="s">
        <v>747</v>
      </c>
      <c r="M158" s="301"/>
      <c r="N158" s="301"/>
      <c r="O158" s="301"/>
      <c r="P158" s="301"/>
      <c r="Q158" s="301"/>
      <c r="R158" s="301"/>
      <c r="S158" s="301"/>
      <c r="T158" s="301"/>
      <c r="U158" s="301"/>
    </row>
    <row r="159" spans="1:21" x14ac:dyDescent="0.15">
      <c r="A159" s="205" t="s">
        <v>748</v>
      </c>
      <c r="B159" s="205"/>
      <c r="C159" s="205"/>
      <c r="D159" s="205"/>
      <c r="E159" s="206" t="s">
        <v>430</v>
      </c>
      <c r="F159" s="206" t="s">
        <v>431</v>
      </c>
      <c r="G159" s="206" t="s">
        <v>432</v>
      </c>
      <c r="H159" s="206" t="s">
        <v>433</v>
      </c>
      <c r="I159" s="206" t="s">
        <v>434</v>
      </c>
      <c r="J159" s="206" t="s">
        <v>435</v>
      </c>
      <c r="K159" s="301"/>
      <c r="L159" s="482" t="s">
        <v>749</v>
      </c>
      <c r="M159" s="301"/>
      <c r="N159" s="301"/>
      <c r="O159" s="301"/>
      <c r="P159" s="301"/>
      <c r="Q159" s="301"/>
      <c r="R159" s="301"/>
      <c r="S159" s="301"/>
      <c r="T159" s="301"/>
      <c r="U159" s="301"/>
    </row>
    <row r="160" spans="1:21" x14ac:dyDescent="0.15">
      <c r="A160" s="191" t="s">
        <v>750</v>
      </c>
      <c r="B160" s="35"/>
      <c r="C160" s="35"/>
      <c r="D160" s="35"/>
      <c r="E160" s="35"/>
      <c r="F160" s="35"/>
      <c r="G160" s="35"/>
      <c r="H160" s="35"/>
      <c r="I160" s="35"/>
      <c r="J160" s="35"/>
      <c r="K160" s="301"/>
      <c r="L160" s="301"/>
      <c r="M160" s="301"/>
      <c r="N160" s="301"/>
      <c r="O160" s="301"/>
      <c r="P160" s="301"/>
      <c r="Q160" s="301"/>
      <c r="R160" s="301"/>
      <c r="S160" s="301"/>
      <c r="T160" s="301"/>
      <c r="U160" s="301"/>
    </row>
    <row r="161" spans="1:12" x14ac:dyDescent="0.15">
      <c r="A161" s="191" t="s">
        <v>751</v>
      </c>
      <c r="B161" s="35"/>
      <c r="C161" s="35"/>
      <c r="D161" s="35"/>
      <c r="E161" s="207">
        <f>Forecasts!E109</f>
        <v>6299.4604268817202</v>
      </c>
      <c r="F161" s="207">
        <f>Forecasts!F109</f>
        <v>6799.8979487751712</v>
      </c>
      <c r="G161" s="207">
        <f>Forecasts!G109</f>
        <v>7340.8958733325144</v>
      </c>
      <c r="H161" s="207">
        <f>Forecasts!H109</f>
        <v>7925.6999327744825</v>
      </c>
      <c r="I161" s="207">
        <f>Forecasts!I109</f>
        <v>8557.8155448996567</v>
      </c>
      <c r="J161" s="207">
        <f>Forecasts!J109</f>
        <v>8900.1281666956529</v>
      </c>
      <c r="K161" s="301"/>
      <c r="L161" s="301" t="s">
        <v>752</v>
      </c>
    </row>
    <row r="162" spans="1:12" x14ac:dyDescent="0.15">
      <c r="A162" s="35" t="s">
        <v>753</v>
      </c>
      <c r="B162" s="35"/>
      <c r="C162" s="35"/>
      <c r="D162" s="35"/>
      <c r="E162" s="207"/>
      <c r="F162" s="207"/>
      <c r="G162" s="207"/>
      <c r="H162" s="207"/>
      <c r="I162" s="207"/>
      <c r="J162" s="207"/>
      <c r="K162" s="301"/>
      <c r="L162" s="301"/>
    </row>
    <row r="163" spans="1:12" x14ac:dyDescent="0.15">
      <c r="A163" s="35" t="s">
        <v>754</v>
      </c>
      <c r="B163" s="35"/>
      <c r="C163" s="35"/>
      <c r="D163" s="35"/>
      <c r="E163" s="207">
        <f>Forecasts!D247</f>
        <v>33133.300000000003</v>
      </c>
      <c r="F163" s="207">
        <f ca="1">Forecasts!E247</f>
        <v>35963.40922918648</v>
      </c>
      <c r="G163" s="207">
        <f ca="1">Forecasts!F247</f>
        <v>38829.540273159117</v>
      </c>
      <c r="H163" s="207">
        <f ca="1">Forecasts!G247</f>
        <v>41834.848262482032</v>
      </c>
      <c r="I163" s="207">
        <f ca="1">Forecasts!H247</f>
        <v>44997.8966931303</v>
      </c>
      <c r="J163" s="207">
        <f ca="1">Forecasts!I247</f>
        <v>48338.743273838962</v>
      </c>
      <c r="K163" s="301"/>
      <c r="L163" s="301" t="s">
        <v>755</v>
      </c>
    </row>
    <row r="164" spans="1:12" x14ac:dyDescent="0.15">
      <c r="A164" s="35"/>
      <c r="B164" s="35"/>
      <c r="C164" s="35"/>
      <c r="D164" s="35"/>
      <c r="E164" s="207"/>
      <c r="F164" s="207"/>
      <c r="G164" s="207"/>
      <c r="H164" s="207"/>
      <c r="I164" s="207"/>
      <c r="J164" s="207"/>
      <c r="K164" s="301"/>
      <c r="L164" s="301"/>
    </row>
    <row r="165" spans="1:12" x14ac:dyDescent="0.15">
      <c r="A165" s="35" t="s">
        <v>756</v>
      </c>
      <c r="B165" s="35"/>
      <c r="C165" s="35"/>
      <c r="D165" s="35"/>
      <c r="E165" s="207">
        <f t="shared" ref="E165:J165" si="2">E163*$F$36</f>
        <v>1987.998</v>
      </c>
      <c r="F165" s="207">
        <f t="shared" ca="1" si="2"/>
        <v>2157.8045537511889</v>
      </c>
      <c r="G165" s="207">
        <f t="shared" ca="1" si="2"/>
        <v>2329.7724163895468</v>
      </c>
      <c r="H165" s="207">
        <f t="shared" ca="1" si="2"/>
        <v>2510.0908957489219</v>
      </c>
      <c r="I165" s="207">
        <f t="shared" ca="1" si="2"/>
        <v>2699.873801587818</v>
      </c>
      <c r="J165" s="207">
        <f t="shared" ca="1" si="2"/>
        <v>2900.3245964303378</v>
      </c>
      <c r="K165" s="301"/>
      <c r="L165" s="301" t="s">
        <v>757</v>
      </c>
    </row>
    <row r="166" spans="1:12" x14ac:dyDescent="0.15">
      <c r="A166" s="205" t="s">
        <v>758</v>
      </c>
      <c r="B166" s="205"/>
      <c r="C166" s="205"/>
      <c r="D166" s="205"/>
      <c r="E166" s="208">
        <f t="shared" ref="E166:J166" si="3">E161-E165</f>
        <v>4311.4624268817206</v>
      </c>
      <c r="F166" s="208">
        <f t="shared" ca="1" si="3"/>
        <v>4642.0933950239823</v>
      </c>
      <c r="G166" s="208">
        <f t="shared" ca="1" si="3"/>
        <v>5011.1234569429671</v>
      </c>
      <c r="H166" s="208">
        <f t="shared" ca="1" si="3"/>
        <v>5415.6090370255606</v>
      </c>
      <c r="I166" s="208">
        <f t="shared" ca="1" si="3"/>
        <v>5857.9417433118388</v>
      </c>
      <c r="J166" s="208">
        <f t="shared" ca="1" si="3"/>
        <v>5999.8035702653151</v>
      </c>
      <c r="K166" s="301"/>
      <c r="L166" s="301" t="s">
        <v>759</v>
      </c>
    </row>
    <row r="167" spans="1:12" x14ac:dyDescent="0.15">
      <c r="A167" s="35"/>
      <c r="B167" s="35"/>
      <c r="C167" s="35"/>
      <c r="D167" s="35"/>
      <c r="E167" s="223"/>
      <c r="F167" s="70"/>
      <c r="G167" s="70"/>
      <c r="H167" s="70"/>
      <c r="I167" s="70"/>
      <c r="J167" s="70"/>
      <c r="K167" s="301"/>
      <c r="L167" s="301"/>
    </row>
    <row r="168" spans="1:12" x14ac:dyDescent="0.15">
      <c r="A168" s="35" t="s">
        <v>703</v>
      </c>
      <c r="B168" s="35"/>
      <c r="C168" s="35"/>
      <c r="D168" s="35"/>
      <c r="E168" s="209">
        <f>1/(1+$F$36)^E158</f>
        <v>0.94339622641509424</v>
      </c>
      <c r="F168" s="209">
        <f>1/(1+$F$36)^F158</f>
        <v>0.88999644001423983</v>
      </c>
      <c r="G168" s="209">
        <f>1/(1+$F$36)^G158</f>
        <v>0.8396192830323016</v>
      </c>
      <c r="H168" s="209">
        <f>1/(1+$F$36)^H158</f>
        <v>0.79209366323802044</v>
      </c>
      <c r="I168" s="209">
        <f>1/(1+$F$36)^I158</f>
        <v>0.74725817286605689</v>
      </c>
      <c r="J168" s="209"/>
      <c r="K168" s="301"/>
      <c r="L168" s="301" t="s">
        <v>704</v>
      </c>
    </row>
    <row r="169" spans="1:12" x14ac:dyDescent="0.15">
      <c r="A169" s="35" t="s">
        <v>760</v>
      </c>
      <c r="B169" s="35"/>
      <c r="C169" s="35"/>
      <c r="D169" s="35"/>
      <c r="E169" s="207">
        <f>E166*E168</f>
        <v>4067.4173838506795</v>
      </c>
      <c r="F169" s="207">
        <f ca="1">F166*F168</f>
        <v>4131.4465957849607</v>
      </c>
      <c r="G169" s="207">
        <f ca="1">G166*G168</f>
        <v>4207.4358841048024</v>
      </c>
      <c r="H169" s="207">
        <f ca="1">H166*H168</f>
        <v>4289.6696008025046</v>
      </c>
      <c r="I169" s="207">
        <f ca="1">I166*I168</f>
        <v>4377.3948438630086</v>
      </c>
      <c r="J169" s="207"/>
      <c r="K169" s="301"/>
      <c r="L169" s="301"/>
    </row>
    <row r="170" spans="1:12" x14ac:dyDescent="0.15">
      <c r="A170" s="35" t="s">
        <v>761</v>
      </c>
      <c r="B170" s="35"/>
      <c r="C170" s="35"/>
      <c r="D170" s="35"/>
      <c r="E170" s="207">
        <f ca="1">SUM(E169:I169)</f>
        <v>21073.364308405959</v>
      </c>
      <c r="F170" s="224"/>
      <c r="G170" s="224"/>
      <c r="H170" s="224"/>
      <c r="I170" s="224"/>
      <c r="J170" s="224"/>
      <c r="K170" s="301"/>
      <c r="L170" s="301" t="s">
        <v>762</v>
      </c>
    </row>
    <row r="171" spans="1:12" x14ac:dyDescent="0.15">
      <c r="A171" s="35" t="s">
        <v>708</v>
      </c>
      <c r="B171" s="35"/>
      <c r="C171" s="35"/>
      <c r="D171" s="35"/>
      <c r="E171" s="207">
        <f ca="1">J166/($F$36-$F$29)*$I$168</f>
        <v>224170.11267358524</v>
      </c>
      <c r="F171" s="224"/>
      <c r="G171" s="225"/>
      <c r="H171" s="70"/>
      <c r="I171" s="225"/>
      <c r="J171" s="70"/>
      <c r="K171" s="301"/>
      <c r="L171" s="301" t="s">
        <v>763</v>
      </c>
    </row>
    <row r="172" spans="1:12" x14ac:dyDescent="0.15">
      <c r="A172" s="35" t="s">
        <v>710</v>
      </c>
      <c r="B172" s="35"/>
      <c r="C172" s="35"/>
      <c r="D172" s="35"/>
      <c r="E172" s="207">
        <f ca="1">E170+E171</f>
        <v>245243.4769819912</v>
      </c>
      <c r="F172" s="224"/>
      <c r="G172" s="225"/>
      <c r="H172" s="70"/>
      <c r="I172" s="225"/>
      <c r="J172" s="70"/>
      <c r="K172" s="301"/>
      <c r="L172" s="301"/>
    </row>
    <row r="173" spans="1:12" x14ac:dyDescent="0.15">
      <c r="A173" s="35" t="s">
        <v>764</v>
      </c>
      <c r="B173" s="35"/>
      <c r="C173" s="35"/>
      <c r="D173" s="35"/>
      <c r="E173" s="207">
        <f>E163</f>
        <v>33133.300000000003</v>
      </c>
      <c r="F173" s="70"/>
      <c r="G173" s="226"/>
      <c r="H173" s="227"/>
      <c r="I173" s="227"/>
      <c r="J173" s="227"/>
      <c r="K173" s="301"/>
      <c r="L173" s="301"/>
    </row>
    <row r="174" spans="1:12" x14ac:dyDescent="0.15">
      <c r="A174" s="35" t="s">
        <v>765</v>
      </c>
      <c r="B174" s="35"/>
      <c r="C174" s="35"/>
      <c r="D174" s="35"/>
      <c r="E174" s="207">
        <f ca="1">E172+E173</f>
        <v>278376.77698199119</v>
      </c>
      <c r="F174" s="70"/>
      <c r="G174" s="226"/>
      <c r="H174" s="227"/>
      <c r="I174" s="227"/>
      <c r="J174" s="227"/>
      <c r="K174" s="301"/>
      <c r="L174" s="301"/>
    </row>
    <row r="175" spans="1:12" x14ac:dyDescent="0.15">
      <c r="A175" s="35" t="s">
        <v>711</v>
      </c>
      <c r="B175" s="35"/>
      <c r="C175" s="35"/>
      <c r="D175" s="35"/>
      <c r="E175" s="228">
        <f>(1+$F$36/2)</f>
        <v>1.03</v>
      </c>
      <c r="F175" s="70"/>
      <c r="G175" s="226"/>
      <c r="H175" s="227"/>
      <c r="I175" s="227"/>
      <c r="J175" s="227"/>
      <c r="K175" s="301"/>
      <c r="L175" s="301" t="s">
        <v>712</v>
      </c>
    </row>
    <row r="176" spans="1:12" x14ac:dyDescent="0.15">
      <c r="A176" s="35" t="s">
        <v>766</v>
      </c>
      <c r="B176" s="35"/>
      <c r="C176" s="35"/>
      <c r="D176" s="35"/>
      <c r="E176" s="207">
        <f ca="1">E174*E175</f>
        <v>286728.08029145095</v>
      </c>
      <c r="F176" s="70"/>
      <c r="G176" s="226"/>
      <c r="H176" s="227"/>
      <c r="I176" s="227"/>
      <c r="J176" s="227"/>
      <c r="K176" s="301"/>
      <c r="L176" s="301"/>
    </row>
    <row r="177" spans="1:15" x14ac:dyDescent="0.15">
      <c r="A177" s="35" t="s">
        <v>714</v>
      </c>
      <c r="B177" s="35"/>
      <c r="C177" s="35"/>
      <c r="D177" s="35"/>
      <c r="E177" s="207">
        <f>$F$25</f>
        <v>534.31202099999996</v>
      </c>
      <c r="F177" s="70"/>
      <c r="G177" s="226"/>
      <c r="H177" s="227"/>
      <c r="I177" s="227"/>
      <c r="J177" s="227"/>
      <c r="K177" s="301"/>
      <c r="L177" s="301"/>
      <c r="M177" s="301"/>
      <c r="N177" s="301"/>
      <c r="O177" s="301"/>
    </row>
    <row r="178" spans="1:15" x14ac:dyDescent="0.15">
      <c r="A178" s="35" t="s">
        <v>715</v>
      </c>
      <c r="B178" s="35"/>
      <c r="C178" s="35"/>
      <c r="D178" s="35"/>
      <c r="E178" s="492">
        <f ca="1">E176/E177</f>
        <v>536.63041260950968</v>
      </c>
      <c r="F178" s="70"/>
      <c r="G178" s="226"/>
      <c r="H178" s="227"/>
      <c r="I178" s="227"/>
      <c r="J178" s="227"/>
      <c r="K178" s="301"/>
      <c r="L178" s="301" t="s">
        <v>716</v>
      </c>
      <c r="M178" s="301"/>
      <c r="N178" s="301"/>
      <c r="O178" s="301"/>
    </row>
    <row r="179" spans="1:15" x14ac:dyDescent="0.15">
      <c r="A179" s="35"/>
      <c r="B179" s="35"/>
      <c r="C179" s="35"/>
      <c r="D179" s="35"/>
      <c r="E179" s="70"/>
      <c r="F179" s="70"/>
      <c r="G179" s="226"/>
      <c r="H179" s="227"/>
      <c r="I179" s="227"/>
      <c r="J179" s="227"/>
      <c r="K179" s="301"/>
      <c r="L179" s="301"/>
      <c r="M179" s="301"/>
      <c r="N179" s="301"/>
      <c r="O179" s="301"/>
    </row>
    <row r="180" spans="1:15" x14ac:dyDescent="0.15">
      <c r="A180" s="35" t="s">
        <v>624</v>
      </c>
      <c r="B180" s="35"/>
      <c r="C180" s="35"/>
      <c r="D180" s="35"/>
      <c r="E180" s="229">
        <f>F24</f>
        <v>341.85</v>
      </c>
      <c r="F180" s="70"/>
      <c r="G180" s="226"/>
      <c r="H180" s="227"/>
      <c r="I180" s="227"/>
      <c r="J180" s="227"/>
      <c r="K180" s="301"/>
      <c r="L180" s="301"/>
      <c r="M180" s="301"/>
      <c r="N180" s="301"/>
      <c r="O180" s="301"/>
    </row>
    <row r="181" spans="1:15" x14ac:dyDescent="0.15">
      <c r="A181" s="35" t="s">
        <v>717</v>
      </c>
      <c r="B181" s="35"/>
      <c r="C181" s="35"/>
      <c r="D181" s="35"/>
      <c r="E181" s="247">
        <f ca="1">E178/E180-1</f>
        <v>0.56978327514848504</v>
      </c>
      <c r="F181" s="70"/>
      <c r="G181" s="226"/>
      <c r="H181" s="227"/>
      <c r="I181" s="227"/>
      <c r="J181" s="227"/>
      <c r="K181" s="301"/>
      <c r="L181" s="301" t="s">
        <v>718</v>
      </c>
      <c r="M181" s="301"/>
      <c r="N181" s="301"/>
      <c r="O181" s="301"/>
    </row>
    <row r="182" spans="1:15" ht="14" thickBot="1" x14ac:dyDescent="0.2">
      <c r="A182" s="202"/>
      <c r="B182" s="202"/>
      <c r="C182" s="202"/>
      <c r="D182" s="202"/>
      <c r="E182" s="202"/>
      <c r="F182" s="202"/>
      <c r="G182" s="202"/>
      <c r="H182" s="222"/>
      <c r="I182" s="212"/>
      <c r="J182" s="212"/>
      <c r="K182" s="301"/>
      <c r="L182" s="301"/>
      <c r="M182" s="301"/>
      <c r="N182" s="301"/>
      <c r="O182" s="301"/>
    </row>
    <row r="183" spans="1:15" ht="14" thickTop="1" x14ac:dyDescent="0.15">
      <c r="A183" s="190"/>
      <c r="B183" s="190"/>
      <c r="C183" s="190"/>
      <c r="D183" s="190"/>
      <c r="E183" s="190"/>
      <c r="F183" s="190"/>
      <c r="G183" s="190"/>
      <c r="H183" s="230"/>
      <c r="I183" s="231"/>
      <c r="J183" s="231"/>
      <c r="K183" s="301"/>
      <c r="L183" s="301"/>
      <c r="M183" s="301"/>
      <c r="N183" s="301"/>
      <c r="O183" s="301"/>
    </row>
    <row r="184" spans="1:15" ht="14" thickBot="1" x14ac:dyDescent="0.2">
      <c r="A184" s="35"/>
      <c r="B184" s="35"/>
      <c r="C184" s="35"/>
      <c r="D184" s="35"/>
      <c r="E184" s="35"/>
      <c r="F184" s="35"/>
      <c r="G184" s="35"/>
      <c r="H184" s="221"/>
      <c r="I184" s="216"/>
      <c r="J184" s="216"/>
      <c r="K184" s="301"/>
      <c r="L184" s="301"/>
      <c r="M184" s="301"/>
      <c r="N184" s="301"/>
      <c r="O184" s="301"/>
    </row>
    <row r="185" spans="1:15" ht="14" thickTop="1" x14ac:dyDescent="0.15">
      <c r="A185" s="311" t="s">
        <v>414</v>
      </c>
      <c r="B185" s="479"/>
      <c r="C185" s="203" t="str">
        <f>C18</f>
        <v>VALUATION MODELS</v>
      </c>
      <c r="D185" s="203"/>
      <c r="E185" s="480"/>
      <c r="F185" s="480"/>
      <c r="G185" s="480"/>
      <c r="H185" s="480"/>
      <c r="I185" s="480"/>
      <c r="J185" s="481"/>
      <c r="K185" s="301"/>
      <c r="L185" s="301"/>
      <c r="M185" s="301"/>
      <c r="N185" s="301"/>
      <c r="O185" s="301"/>
    </row>
    <row r="186" spans="1:15" x14ac:dyDescent="0.15">
      <c r="A186" s="310" t="str">
        <f>Data!$A$9</f>
        <v>Analyst Name:</v>
      </c>
      <c r="B186" s="477"/>
      <c r="C186" s="84" t="str">
        <f>Data!$B$9</f>
        <v>Durdona Karimova &amp; Vincenzo Giordano</v>
      </c>
      <c r="D186" s="85"/>
      <c r="E186" s="429"/>
      <c r="F186" s="431"/>
      <c r="G186" s="431"/>
      <c r="H186" s="431"/>
      <c r="I186" s="431"/>
      <c r="J186" s="431"/>
      <c r="K186" s="301"/>
      <c r="L186" s="301"/>
      <c r="M186" s="301"/>
      <c r="N186" s="301"/>
      <c r="O186" s="301"/>
    </row>
    <row r="187" spans="1:15" x14ac:dyDescent="0.15">
      <c r="A187" s="310" t="str">
        <f>Data!$A$10</f>
        <v>Company Name:</v>
      </c>
      <c r="B187" s="478"/>
      <c r="C187" s="84" t="str">
        <f>Data!$B$10</f>
        <v>L'Oreal</v>
      </c>
      <c r="D187" s="429"/>
      <c r="E187" s="436"/>
      <c r="F187" s="431"/>
      <c r="G187" s="431"/>
      <c r="H187" s="431"/>
      <c r="I187" s="431"/>
      <c r="J187" s="431"/>
      <c r="K187" s="301"/>
      <c r="L187" s="301"/>
      <c r="M187" s="301"/>
      <c r="N187" s="301"/>
      <c r="O187" s="221"/>
    </row>
    <row r="188" spans="1:15" x14ac:dyDescent="0.15">
      <c r="A188" s="147"/>
      <c r="B188" s="35"/>
      <c r="C188" s="35"/>
      <c r="D188" s="35"/>
      <c r="E188" s="35"/>
      <c r="F188" s="35"/>
      <c r="G188" s="35"/>
      <c r="H188" s="221"/>
      <c r="I188" s="216"/>
      <c r="J188" s="216"/>
      <c r="K188" s="301"/>
      <c r="L188" s="301"/>
      <c r="M188" s="301"/>
      <c r="N188" s="301"/>
      <c r="O188" s="301"/>
    </row>
    <row r="189" spans="1:15" x14ac:dyDescent="0.15">
      <c r="A189" s="217" t="s">
        <v>767</v>
      </c>
      <c r="B189" s="217"/>
      <c r="C189" s="217"/>
      <c r="D189" s="217"/>
      <c r="E189" s="217"/>
      <c r="F189" s="218"/>
      <c r="G189" s="218"/>
      <c r="H189" s="218"/>
      <c r="I189" s="218"/>
      <c r="J189" s="218"/>
      <c r="K189" s="301"/>
      <c r="L189" s="301"/>
      <c r="M189" s="301"/>
      <c r="N189" s="301"/>
      <c r="O189" s="301"/>
    </row>
    <row r="190" spans="1:15" x14ac:dyDescent="0.15">
      <c r="A190" s="35"/>
      <c r="B190" s="35"/>
      <c r="C190" s="70"/>
      <c r="D190" s="35"/>
      <c r="E190" s="70"/>
      <c r="F190" s="70"/>
      <c r="G190" s="70"/>
      <c r="H190" s="70"/>
      <c r="I190" s="70"/>
      <c r="J190" s="70"/>
      <c r="K190" s="301"/>
      <c r="L190" s="301"/>
      <c r="M190" s="301"/>
      <c r="N190" s="301"/>
      <c r="O190" s="301"/>
    </row>
    <row r="191" spans="1:15" x14ac:dyDescent="0.15">
      <c r="A191" s="35"/>
      <c r="B191" s="35"/>
      <c r="C191" s="219" t="s">
        <v>742</v>
      </c>
      <c r="D191" s="35"/>
      <c r="E191" s="35"/>
      <c r="F191" s="35"/>
      <c r="G191" s="35"/>
      <c r="H191" s="35"/>
      <c r="I191" s="35"/>
      <c r="J191" s="35"/>
      <c r="K191" s="301"/>
      <c r="L191" s="37" t="s">
        <v>743</v>
      </c>
      <c r="M191" s="301"/>
      <c r="N191" s="301"/>
      <c r="O191" s="301"/>
    </row>
    <row r="192" spans="1:15" x14ac:dyDescent="0.15">
      <c r="A192" s="35"/>
      <c r="B192" s="490">
        <f ca="1">E178</f>
        <v>536.63041260950968</v>
      </c>
      <c r="C192" s="296">
        <v>0</v>
      </c>
      <c r="D192" s="297">
        <v>0.01</v>
      </c>
      <c r="E192" s="297">
        <v>0.02</v>
      </c>
      <c r="F192" s="297">
        <v>2.5000000000000001E-2</v>
      </c>
      <c r="G192" s="297">
        <v>0.03</v>
      </c>
      <c r="H192" s="297">
        <v>3.5000000000000003E-2</v>
      </c>
      <c r="I192" s="297">
        <v>0.04</v>
      </c>
      <c r="J192" s="297">
        <v>0.05</v>
      </c>
      <c r="K192" s="301"/>
      <c r="L192" s="301" t="s">
        <v>744</v>
      </c>
      <c r="M192" s="301"/>
      <c r="N192" s="301"/>
      <c r="O192" s="301"/>
    </row>
    <row r="193" spans="1:10" x14ac:dyDescent="0.15">
      <c r="A193" s="225" t="s">
        <v>745</v>
      </c>
      <c r="B193" s="317">
        <v>0.05</v>
      </c>
      <c r="C193" s="216">
        <f t="dataTable" ref="C193:J206" dt2D="1" dtr="0" r1="F29" r2="F36" ca="1"/>
        <v>292.98793235950984</v>
      </c>
      <c r="D193" s="216">
        <v>342.35489747283248</v>
      </c>
      <c r="E193" s="216">
        <v>424.63317266170304</v>
      </c>
      <c r="F193" s="216">
        <v>490.4557928127993</v>
      </c>
      <c r="G193" s="216">
        <v>589.18972303944361</v>
      </c>
      <c r="H193" s="216">
        <v>753.74627341718667</v>
      </c>
      <c r="I193" s="216">
        <v>1082.8593741726684</v>
      </c>
      <c r="J193" s="241" t="e">
        <v>#DIV/0!</v>
      </c>
    </row>
    <row r="194" spans="1:10" x14ac:dyDescent="0.15">
      <c r="A194" s="225" t="s">
        <v>746</v>
      </c>
      <c r="B194" s="318">
        <v>5.2499999999999998E-2</v>
      </c>
      <c r="C194" s="216">
        <v>277.91733779478272</v>
      </c>
      <c r="D194" s="216">
        <v>321.03526654803386</v>
      </c>
      <c r="E194" s="216">
        <v>390.6873053032856</v>
      </c>
      <c r="F194" s="216">
        <v>444.50933525052528</v>
      </c>
      <c r="G194" s="216">
        <v>522.2522673965384</v>
      </c>
      <c r="H194" s="216">
        <v>644.41973219741772</v>
      </c>
      <c r="I194" s="216">
        <v>864.32116883899766</v>
      </c>
      <c r="J194" s="216">
        <v>3942.9412818211285</v>
      </c>
    </row>
    <row r="195" spans="1:10" x14ac:dyDescent="0.15">
      <c r="A195" s="35"/>
      <c r="B195" s="318">
        <v>5.5E-2</v>
      </c>
      <c r="C195" s="216">
        <v>264.23164444180054</v>
      </c>
      <c r="D195" s="216">
        <v>302.10027320774617</v>
      </c>
      <c r="E195" s="216">
        <v>361.60811841137456</v>
      </c>
      <c r="F195" s="216">
        <v>406.23900231409556</v>
      </c>
      <c r="G195" s="216">
        <v>468.72223977790514</v>
      </c>
      <c r="H195" s="216">
        <v>562.44709597362112</v>
      </c>
      <c r="I195" s="216">
        <v>718.65518963314537</v>
      </c>
      <c r="J195" s="216">
        <v>1968.3199389093418</v>
      </c>
    </row>
    <row r="196" spans="1:10" x14ac:dyDescent="0.15">
      <c r="A196" s="35"/>
      <c r="B196" s="318">
        <v>5.7500000000000002E-2</v>
      </c>
      <c r="C196" s="216">
        <v>251.75000058533831</v>
      </c>
      <c r="D196" s="216">
        <v>285.17317226529343</v>
      </c>
      <c r="E196" s="216">
        <v>336.42203550789083</v>
      </c>
      <c r="F196" s="216">
        <v>373.87312787748112</v>
      </c>
      <c r="G196" s="216">
        <v>424.94279929055887</v>
      </c>
      <c r="H196" s="220">
        <v>498.71010244278358</v>
      </c>
      <c r="I196" s="216">
        <v>614.63015025342042</v>
      </c>
      <c r="J196" s="216">
        <v>1310.1504371172432</v>
      </c>
    </row>
    <row r="197" spans="1:10" x14ac:dyDescent="0.15">
      <c r="A197" s="35"/>
      <c r="B197" s="318">
        <v>0.06</v>
      </c>
      <c r="C197" s="216">
        <v>240.32170002696205</v>
      </c>
      <c r="D197" s="216">
        <v>269.952571285217</v>
      </c>
      <c r="E197" s="216">
        <v>314.39887817259898</v>
      </c>
      <c r="F197" s="216">
        <v>346.1462402350146</v>
      </c>
      <c r="G197" s="493">
        <v>388.47605631823535</v>
      </c>
      <c r="H197" s="216">
        <v>447.73779883474583</v>
      </c>
      <c r="I197" s="216">
        <v>536.63041260950968</v>
      </c>
      <c r="J197" s="216">
        <v>981.09348148332981</v>
      </c>
    </row>
    <row r="198" spans="1:10" x14ac:dyDescent="0.15">
      <c r="A198" s="35"/>
      <c r="B198" s="318">
        <v>6.25E-2</v>
      </c>
      <c r="C198" s="216">
        <v>229.82015291334415</v>
      </c>
      <c r="D198" s="216">
        <v>256.19448938144012</v>
      </c>
      <c r="E198" s="216">
        <v>294.98027830511046</v>
      </c>
      <c r="F198" s="216">
        <v>322.13033055167944</v>
      </c>
      <c r="G198" s="216">
        <v>357.63424502796204</v>
      </c>
      <c r="H198" s="216">
        <v>406.04867385925769</v>
      </c>
      <c r="I198" s="216">
        <v>475.98062661557202</v>
      </c>
      <c r="J198" s="216">
        <v>783.68121874335588</v>
      </c>
    </row>
    <row r="199" spans="1:10" x14ac:dyDescent="0.15">
      <c r="A199" s="35"/>
      <c r="B199" s="318">
        <v>6.5000000000000002E-2</v>
      </c>
      <c r="C199" s="216">
        <v>220.13824791336094</v>
      </c>
      <c r="D199" s="216">
        <v>243.69930907198818</v>
      </c>
      <c r="E199" s="216">
        <v>277.73195296778283</v>
      </c>
      <c r="F199" s="216">
        <v>301.1293956461414</v>
      </c>
      <c r="G199" s="216">
        <v>331.21182194688834</v>
      </c>
      <c r="H199" s="216">
        <v>371.3217236812186</v>
      </c>
      <c r="I199" s="216">
        <v>427.47558610927933</v>
      </c>
      <c r="J199" s="216">
        <v>652.09103582152363</v>
      </c>
    </row>
    <row r="200" spans="1:10" x14ac:dyDescent="0.15">
      <c r="A200" s="35"/>
      <c r="B200" s="318">
        <v>6.7500000000000004E-2</v>
      </c>
      <c r="C200" s="216">
        <v>211.18474502388227</v>
      </c>
      <c r="D200" s="216">
        <v>232.30213199909934</v>
      </c>
      <c r="E200" s="216">
        <v>262.31105033230227</v>
      </c>
      <c r="F200" s="216">
        <v>282.61120096946871</v>
      </c>
      <c r="G200" s="216">
        <v>308.32472510987975</v>
      </c>
      <c r="H200" s="216">
        <v>341.9501028319566</v>
      </c>
      <c r="I200" s="216">
        <v>387.80289063478727</v>
      </c>
      <c r="J200" s="216">
        <v>558.11324533101651</v>
      </c>
    </row>
    <row r="201" spans="1:10" x14ac:dyDescent="0.15">
      <c r="A201" s="35"/>
      <c r="B201" s="318">
        <v>7.0000000000000007E-2</v>
      </c>
      <c r="C201" s="216">
        <v>202.88144134704737</v>
      </c>
      <c r="D201" s="216">
        <v>221.86554572062241</v>
      </c>
      <c r="E201" s="216">
        <v>248.44329184362724</v>
      </c>
      <c r="F201" s="216">
        <v>266.16178925896361</v>
      </c>
      <c r="G201" s="220">
        <v>288.3099110281342</v>
      </c>
      <c r="H201" s="216">
        <v>316.78606758849713</v>
      </c>
      <c r="I201" s="216">
        <v>354.75427633564664</v>
      </c>
      <c r="J201" s="216">
        <v>487.64300695067044</v>
      </c>
    </row>
    <row r="202" spans="1:10" x14ac:dyDescent="0.15">
      <c r="A202" s="35"/>
      <c r="B202" s="318">
        <v>7.2499999999999995E-2</v>
      </c>
      <c r="C202" s="216">
        <v>195.1609232596721</v>
      </c>
      <c r="D202" s="216">
        <v>212.27412647270975</v>
      </c>
      <c r="E202" s="216">
        <v>235.90664519547587</v>
      </c>
      <c r="F202" s="216">
        <v>251.45435488150599</v>
      </c>
      <c r="G202" s="216">
        <v>270.66034919954336</v>
      </c>
      <c r="H202" s="216">
        <v>294.98794200239143</v>
      </c>
      <c r="I202" s="216">
        <v>326.80094797534559</v>
      </c>
      <c r="J202" s="216">
        <v>432.84430121852637</v>
      </c>
    </row>
    <row r="203" spans="1:10" x14ac:dyDescent="0.15">
      <c r="A203" s="35"/>
      <c r="B203" s="318">
        <v>7.4999999999999997E-2</v>
      </c>
      <c r="C203" s="216">
        <v>187.96476814992712</v>
      </c>
      <c r="D203" s="216">
        <v>203.43021052688812</v>
      </c>
      <c r="E203" s="216">
        <v>224.51945013183473</v>
      </c>
      <c r="F203" s="216">
        <v>238.22745587504991</v>
      </c>
      <c r="G203" s="216">
        <v>254.9816851167574</v>
      </c>
      <c r="H203" s="216">
        <v>275.92447166889241</v>
      </c>
      <c r="I203" s="216">
        <v>302.85091152163659</v>
      </c>
      <c r="J203" s="216">
        <v>389.01551905041822</v>
      </c>
    </row>
    <row r="204" spans="1:10" x14ac:dyDescent="0.15">
      <c r="A204" s="35"/>
      <c r="B204" s="318">
        <v>0.08</v>
      </c>
      <c r="C204" s="216">
        <v>174.94838212082283</v>
      </c>
      <c r="D204" s="216">
        <v>187.66400491861384</v>
      </c>
      <c r="E204" s="216">
        <v>204.61816864900163</v>
      </c>
      <c r="F204" s="216">
        <v>215.40718193197557</v>
      </c>
      <c r="G204" s="216">
        <v>228.35399787154429</v>
      </c>
      <c r="H204" s="216">
        <v>244.17788401990677</v>
      </c>
      <c r="I204" s="216">
        <v>263.95774170535901</v>
      </c>
      <c r="J204" s="216">
        <v>323.297314761716</v>
      </c>
    </row>
    <row r="205" spans="1:10" x14ac:dyDescent="0.15">
      <c r="A205" s="35"/>
      <c r="B205" s="318">
        <v>8.5000000000000006E-2</v>
      </c>
      <c r="C205" s="216">
        <v>163.49596459382423</v>
      </c>
      <c r="D205" s="216">
        <v>174.03214371148033</v>
      </c>
      <c r="E205" s="216">
        <v>187.81022409610745</v>
      </c>
      <c r="F205" s="216">
        <v>196.4215243364992</v>
      </c>
      <c r="G205" s="216">
        <v>206.59851552968954</v>
      </c>
      <c r="H205" s="216">
        <v>218.81090496151856</v>
      </c>
      <c r="I205" s="216">
        <v>233.73715871153104</v>
      </c>
      <c r="J205" s="216">
        <v>276.38359799728124</v>
      </c>
    </row>
    <row r="206" spans="1:10" x14ac:dyDescent="0.15">
      <c r="A206" s="35"/>
      <c r="B206" s="318">
        <v>0.09</v>
      </c>
      <c r="C206" s="216">
        <v>153.34596553430487</v>
      </c>
      <c r="D206" s="216">
        <v>162.13356844963684</v>
      </c>
      <c r="E206" s="216">
        <v>173.43191505506351</v>
      </c>
      <c r="F206" s="216">
        <v>180.38474373532597</v>
      </c>
      <c r="G206" s="216">
        <v>188.49637719563222</v>
      </c>
      <c r="H206" s="216">
        <v>198.08285310326744</v>
      </c>
      <c r="I206" s="216">
        <v>209.58662419242901</v>
      </c>
      <c r="J206" s="216">
        <v>241.22199468762349</v>
      </c>
    </row>
    <row r="207" spans="1:10" x14ac:dyDescent="0.15">
      <c r="A207" s="35"/>
      <c r="B207" s="221"/>
      <c r="C207" s="216"/>
      <c r="D207" s="216"/>
      <c r="E207" s="216"/>
      <c r="F207" s="216"/>
      <c r="G207" s="216"/>
      <c r="H207" s="216"/>
      <c r="I207" s="216"/>
      <c r="J207" s="216"/>
    </row>
    <row r="208" spans="1:10" ht="14" thickBot="1" x14ac:dyDescent="0.2">
      <c r="A208" s="202"/>
      <c r="B208" s="222"/>
      <c r="C208" s="212"/>
      <c r="D208" s="212"/>
      <c r="E208" s="212"/>
      <c r="F208" s="212"/>
      <c r="G208" s="212"/>
      <c r="H208" s="212"/>
      <c r="I208" s="212"/>
      <c r="J208" s="212"/>
    </row>
    <row r="209" spans="1:12" ht="14" thickTop="1" x14ac:dyDescent="0.15">
      <c r="A209" s="190"/>
      <c r="B209" s="230"/>
      <c r="C209" s="231"/>
      <c r="D209" s="231"/>
      <c r="E209" s="231"/>
      <c r="F209" s="231"/>
      <c r="G209" s="231"/>
      <c r="H209" s="231"/>
      <c r="I209" s="231"/>
      <c r="J209" s="231"/>
      <c r="K209" s="301"/>
      <c r="L209" s="301"/>
    </row>
    <row r="210" spans="1:12" ht="14" thickBot="1" x14ac:dyDescent="0.2">
      <c r="A210" s="202"/>
      <c r="B210" s="222"/>
      <c r="C210" s="212"/>
      <c r="D210" s="212"/>
      <c r="E210" s="212"/>
      <c r="F210" s="212"/>
      <c r="G210" s="212"/>
      <c r="H210" s="212"/>
      <c r="I210" s="212"/>
      <c r="J210" s="212"/>
      <c r="K210" s="301"/>
      <c r="L210" s="301"/>
    </row>
    <row r="211" spans="1:12" ht="14" thickTop="1" x14ac:dyDescent="0.15">
      <c r="A211" s="311" t="s">
        <v>414</v>
      </c>
      <c r="B211" s="479"/>
      <c r="C211" s="203" t="str">
        <f>C18</f>
        <v>VALUATION MODELS</v>
      </c>
      <c r="D211" s="203"/>
      <c r="E211" s="480"/>
      <c r="F211" s="480"/>
      <c r="G211" s="480"/>
      <c r="H211" s="480"/>
      <c r="I211" s="480"/>
      <c r="J211" s="481"/>
      <c r="K211" s="301"/>
      <c r="L211" s="301"/>
    </row>
    <row r="212" spans="1:12" x14ac:dyDescent="0.15">
      <c r="A212" s="310" t="str">
        <f>Data!$A$9</f>
        <v>Analyst Name:</v>
      </c>
      <c r="B212" s="477"/>
      <c r="C212" s="84" t="str">
        <f>Data!$B$9</f>
        <v>Durdona Karimova &amp; Vincenzo Giordano</v>
      </c>
      <c r="D212" s="85"/>
      <c r="E212" s="429"/>
      <c r="F212" s="431"/>
      <c r="G212" s="431"/>
      <c r="H212" s="431"/>
      <c r="I212" s="431"/>
      <c r="J212" s="431"/>
      <c r="K212" s="301"/>
      <c r="L212" s="301"/>
    </row>
    <row r="213" spans="1:12" x14ac:dyDescent="0.15">
      <c r="A213" s="310" t="str">
        <f>Data!$A$10</f>
        <v>Company Name:</v>
      </c>
      <c r="B213" s="478"/>
      <c r="C213" s="84" t="str">
        <f>Data!$B$10</f>
        <v>L'Oreal</v>
      </c>
      <c r="D213" s="429"/>
      <c r="E213" s="436"/>
      <c r="F213" s="431"/>
      <c r="G213" s="431"/>
      <c r="H213" s="431"/>
      <c r="I213" s="431"/>
      <c r="J213" s="431"/>
      <c r="K213" s="301"/>
      <c r="L213" s="301"/>
    </row>
    <row r="214" spans="1:12" x14ac:dyDescent="0.15">
      <c r="A214" s="147"/>
      <c r="B214" s="35"/>
      <c r="C214" s="35"/>
      <c r="D214" s="35"/>
      <c r="E214" s="35"/>
      <c r="F214" s="35"/>
      <c r="G214" s="35"/>
      <c r="H214" s="35"/>
      <c r="I214" s="35"/>
      <c r="J214" s="70" t="s">
        <v>690</v>
      </c>
      <c r="K214" s="301"/>
      <c r="L214" s="301"/>
    </row>
    <row r="215" spans="1:12" x14ac:dyDescent="0.15">
      <c r="A215" s="205" t="s">
        <v>748</v>
      </c>
      <c r="B215" s="205"/>
      <c r="C215" s="205"/>
      <c r="D215" s="205"/>
      <c r="E215" s="204">
        <v>1</v>
      </c>
      <c r="F215" s="204">
        <v>2</v>
      </c>
      <c r="G215" s="204">
        <v>3</v>
      </c>
      <c r="H215" s="204">
        <v>4</v>
      </c>
      <c r="I215" s="204">
        <v>5</v>
      </c>
      <c r="J215" s="70" t="s">
        <v>691</v>
      </c>
      <c r="K215" s="301"/>
      <c r="L215" s="37" t="s">
        <v>768</v>
      </c>
    </row>
    <row r="216" spans="1:12" x14ac:dyDescent="0.15">
      <c r="A216" s="205" t="s">
        <v>769</v>
      </c>
      <c r="B216" s="205"/>
      <c r="C216" s="205"/>
      <c r="D216" s="205"/>
      <c r="E216" s="206" t="s">
        <v>430</v>
      </c>
      <c r="F216" s="206" t="s">
        <v>431</v>
      </c>
      <c r="G216" s="206" t="s">
        <v>432</v>
      </c>
      <c r="H216" s="206" t="s">
        <v>433</v>
      </c>
      <c r="I216" s="206" t="s">
        <v>434</v>
      </c>
      <c r="J216" s="206" t="s">
        <v>435</v>
      </c>
      <c r="K216" s="301"/>
      <c r="L216" s="482" t="s">
        <v>770</v>
      </c>
    </row>
    <row r="217" spans="1:12" x14ac:dyDescent="0.15">
      <c r="A217" s="191" t="s">
        <v>750</v>
      </c>
      <c r="B217" s="35"/>
      <c r="C217" s="35"/>
      <c r="D217" s="35"/>
      <c r="E217" s="35"/>
      <c r="F217" s="35"/>
      <c r="G217" s="35"/>
      <c r="H217" s="35"/>
      <c r="I217" s="35"/>
      <c r="J217" s="35"/>
      <c r="K217" s="301"/>
      <c r="L217" s="301"/>
    </row>
    <row r="218" spans="1:12" x14ac:dyDescent="0.15">
      <c r="A218" s="191" t="s">
        <v>751</v>
      </c>
      <c r="B218" s="35"/>
      <c r="C218" s="35"/>
      <c r="D218" s="35"/>
      <c r="E218" s="207">
        <f t="shared" ref="E218:J218" si="4">E161</f>
        <v>6299.4604268817202</v>
      </c>
      <c r="F218" s="207">
        <f t="shared" si="4"/>
        <v>6799.8979487751712</v>
      </c>
      <c r="G218" s="207">
        <f t="shared" si="4"/>
        <v>7340.8958733325144</v>
      </c>
      <c r="H218" s="207">
        <f t="shared" si="4"/>
        <v>7925.6999327744825</v>
      </c>
      <c r="I218" s="207">
        <f t="shared" si="4"/>
        <v>8557.8155448996567</v>
      </c>
      <c r="J218" s="207">
        <f t="shared" si="4"/>
        <v>8900.1281666956529</v>
      </c>
      <c r="K218" s="301"/>
      <c r="L218" s="301" t="s">
        <v>752</v>
      </c>
    </row>
    <row r="219" spans="1:12" x14ac:dyDescent="0.15">
      <c r="A219" s="35" t="s">
        <v>771</v>
      </c>
      <c r="B219" s="35"/>
      <c r="C219" s="35"/>
      <c r="D219" s="35"/>
      <c r="E219" s="207"/>
      <c r="F219" s="207"/>
      <c r="G219" s="207"/>
      <c r="H219" s="207"/>
      <c r="I219" s="207"/>
      <c r="J219" s="207"/>
      <c r="K219" s="301"/>
      <c r="L219" s="301"/>
    </row>
    <row r="220" spans="1:12" x14ac:dyDescent="0.15">
      <c r="A220" s="35" t="s">
        <v>754</v>
      </c>
      <c r="B220" s="35"/>
      <c r="C220" s="35"/>
      <c r="D220" s="35"/>
      <c r="E220" s="207">
        <f t="shared" ref="E220:J220" si="5">E163</f>
        <v>33133.300000000003</v>
      </c>
      <c r="F220" s="207">
        <f t="shared" ca="1" si="5"/>
        <v>35963.40922918648</v>
      </c>
      <c r="G220" s="207">
        <f t="shared" ca="1" si="5"/>
        <v>38829.540273159117</v>
      </c>
      <c r="H220" s="207">
        <f t="shared" ca="1" si="5"/>
        <v>41834.848262482032</v>
      </c>
      <c r="I220" s="207">
        <f t="shared" ca="1" si="5"/>
        <v>44997.8966931303</v>
      </c>
      <c r="J220" s="207">
        <f t="shared" ca="1" si="5"/>
        <v>48338.743273838962</v>
      </c>
      <c r="K220" s="301"/>
      <c r="L220" s="301" t="s">
        <v>772</v>
      </c>
    </row>
    <row r="221" spans="1:12" x14ac:dyDescent="0.15">
      <c r="A221" s="35"/>
      <c r="B221" s="35"/>
      <c r="C221" s="35"/>
      <c r="D221" s="35"/>
      <c r="E221" s="232"/>
      <c r="F221" s="232"/>
      <c r="G221" s="232"/>
      <c r="H221" s="232"/>
      <c r="I221" s="232"/>
      <c r="J221" s="232"/>
      <c r="K221" s="301"/>
      <c r="L221" s="301"/>
    </row>
    <row r="222" spans="1:12" x14ac:dyDescent="0.15">
      <c r="A222" s="35" t="s">
        <v>773</v>
      </c>
      <c r="B222" s="35"/>
      <c r="C222" s="35"/>
      <c r="D222" s="35"/>
      <c r="E222" s="233">
        <f t="shared" ref="E222:J222" si="6">E218/E220</f>
        <v>0.19012475143984209</v>
      </c>
      <c r="F222" s="233">
        <f t="shared" ca="1" si="6"/>
        <v>0.18907823519847622</v>
      </c>
      <c r="G222" s="233">
        <f t="shared" ca="1" si="6"/>
        <v>0.18905441119546043</v>
      </c>
      <c r="H222" s="233">
        <f t="shared" ca="1" si="6"/>
        <v>0.18945210182302347</v>
      </c>
      <c r="I222" s="233">
        <f t="shared" ca="1" si="6"/>
        <v>0.19018256793780661</v>
      </c>
      <c r="J222" s="233">
        <f t="shared" ca="1" si="6"/>
        <v>0.18411997424667062</v>
      </c>
      <c r="K222" s="301"/>
      <c r="L222" s="301" t="s">
        <v>774</v>
      </c>
    </row>
    <row r="223" spans="1:12" x14ac:dyDescent="0.15">
      <c r="A223" s="35" t="s">
        <v>775</v>
      </c>
      <c r="B223" s="35"/>
      <c r="C223" s="35"/>
      <c r="D223" s="35"/>
      <c r="E223" s="233">
        <f t="shared" ref="E223:J223" si="7">E222-$F$36</f>
        <v>0.13012475143984209</v>
      </c>
      <c r="F223" s="233">
        <f t="shared" ca="1" si="7"/>
        <v>0.12907823519847622</v>
      </c>
      <c r="G223" s="233">
        <f t="shared" ca="1" si="7"/>
        <v>0.12905441119546043</v>
      </c>
      <c r="H223" s="233">
        <f t="shared" ca="1" si="7"/>
        <v>0.12945210182302347</v>
      </c>
      <c r="I223" s="233">
        <f t="shared" ca="1" si="7"/>
        <v>0.13018256793780661</v>
      </c>
      <c r="J223" s="233">
        <f t="shared" ca="1" si="7"/>
        <v>0.12411997424667062</v>
      </c>
      <c r="K223" s="301"/>
      <c r="L223" s="301" t="s">
        <v>776</v>
      </c>
    </row>
    <row r="224" spans="1:12" x14ac:dyDescent="0.15">
      <c r="A224" s="35" t="s">
        <v>777</v>
      </c>
      <c r="B224" s="35"/>
      <c r="C224" s="35"/>
      <c r="D224" s="35"/>
      <c r="E224" s="233">
        <f t="shared" ref="E224:J224" si="8">E220/$E$220</f>
        <v>1</v>
      </c>
      <c r="F224" s="233">
        <f t="shared" ca="1" si="8"/>
        <v>1.0854158574360682</v>
      </c>
      <c r="G224" s="233">
        <f t="shared" ca="1" si="8"/>
        <v>1.1719188934745139</v>
      </c>
      <c r="H224" s="233">
        <f t="shared" ca="1" si="8"/>
        <v>1.2626224451679136</v>
      </c>
      <c r="I224" s="233">
        <f t="shared" ca="1" si="8"/>
        <v>1.3580867795580367</v>
      </c>
      <c r="J224" s="233">
        <f t="shared" ca="1" si="8"/>
        <v>1.458917260696609</v>
      </c>
      <c r="K224" s="301"/>
      <c r="L224" s="301" t="s">
        <v>778</v>
      </c>
    </row>
    <row r="225" spans="1:12" x14ac:dyDescent="0.15">
      <c r="A225" s="205" t="s">
        <v>779</v>
      </c>
      <c r="B225" s="205"/>
      <c r="C225" s="205"/>
      <c r="D225" s="205"/>
      <c r="E225" s="234">
        <f t="shared" ref="E225:J225" si="9">E223*E224</f>
        <v>0.13012475143984209</v>
      </c>
      <c r="F225" s="234">
        <f t="shared" ca="1" si="9"/>
        <v>0.14010356333428856</v>
      </c>
      <c r="G225" s="234">
        <f t="shared" ca="1" si="9"/>
        <v>0.15124130276618891</v>
      </c>
      <c r="H225" s="234">
        <f t="shared" ca="1" si="9"/>
        <v>0.1634491293359116</v>
      </c>
      <c r="I225" s="234">
        <f t="shared" ca="1" si="9"/>
        <v>0.17679922444525109</v>
      </c>
      <c r="J225" s="234">
        <f t="shared" ca="1" si="9"/>
        <v>0.18108077282568635</v>
      </c>
      <c r="K225" s="301"/>
      <c r="L225" s="301" t="s">
        <v>780</v>
      </c>
    </row>
    <row r="226" spans="1:12" x14ac:dyDescent="0.15">
      <c r="A226" s="35"/>
      <c r="B226" s="35"/>
      <c r="C226" s="35"/>
      <c r="D226" s="35"/>
      <c r="E226" s="233"/>
      <c r="F226" s="233"/>
      <c r="G226" s="233"/>
      <c r="H226" s="233"/>
      <c r="I226" s="233"/>
      <c r="J226" s="233"/>
      <c r="K226" s="301"/>
      <c r="L226" s="301"/>
    </row>
    <row r="227" spans="1:12" x14ac:dyDescent="0.15">
      <c r="A227" s="35" t="s">
        <v>703</v>
      </c>
      <c r="B227" s="35"/>
      <c r="C227" s="35"/>
      <c r="D227" s="35"/>
      <c r="E227" s="235">
        <f>1/(1+$F$36)^E215</f>
        <v>0.94339622641509424</v>
      </c>
      <c r="F227" s="235">
        <f>1/(1+$F$36)^F215</f>
        <v>0.88999644001423983</v>
      </c>
      <c r="G227" s="235">
        <f>1/(1+$F$36)^G215</f>
        <v>0.8396192830323016</v>
      </c>
      <c r="H227" s="235">
        <f>1/(1+$F$36)^H215</f>
        <v>0.79209366323802044</v>
      </c>
      <c r="I227" s="235">
        <f>1/(1+$F$36)^I215</f>
        <v>0.74725817286605689</v>
      </c>
      <c r="J227" s="214"/>
      <c r="K227" s="301"/>
      <c r="L227" s="301" t="s">
        <v>704</v>
      </c>
    </row>
    <row r="228" spans="1:12" x14ac:dyDescent="0.15">
      <c r="A228" s="35" t="s">
        <v>781</v>
      </c>
      <c r="B228" s="35"/>
      <c r="C228" s="35"/>
      <c r="D228" s="35"/>
      <c r="E228" s="235">
        <f>E225*E227</f>
        <v>0.12275919947154913</v>
      </c>
      <c r="F228" s="235">
        <f ca="1">F225*F227</f>
        <v>0.12469167260082639</v>
      </c>
      <c r="G228" s="235">
        <f ca="1">G225*G227</f>
        <v>0.12698511419341879</v>
      </c>
      <c r="H228" s="235">
        <f ca="1">H225*H227</f>
        <v>0.12946701960874721</v>
      </c>
      <c r="I228" s="235">
        <f ca="1">I225*I227</f>
        <v>0.13211466542309422</v>
      </c>
      <c r="J228" s="314"/>
      <c r="K228" s="301"/>
      <c r="L228" s="301"/>
    </row>
    <row r="229" spans="1:12" x14ac:dyDescent="0.15">
      <c r="A229" s="35" t="s">
        <v>782</v>
      </c>
      <c r="B229" s="35"/>
      <c r="C229" s="35"/>
      <c r="D229" s="35"/>
      <c r="E229" s="236">
        <f ca="1">SUM(E228:I228)</f>
        <v>0.63601767129763576</v>
      </c>
      <c r="F229" s="224"/>
      <c r="G229" s="224"/>
      <c r="H229" s="224"/>
      <c r="I229" s="224"/>
      <c r="J229" s="224"/>
      <c r="K229" s="301"/>
      <c r="L229" s="301" t="s">
        <v>783</v>
      </c>
    </row>
    <row r="230" spans="1:12" x14ac:dyDescent="0.15">
      <c r="A230" s="35" t="s">
        <v>708</v>
      </c>
      <c r="B230" s="35"/>
      <c r="C230" s="35"/>
      <c r="D230" s="35"/>
      <c r="E230" s="236">
        <f ca="1">J225/($F$36-$F$29)*$I$227</f>
        <v>6.7657043721447963</v>
      </c>
      <c r="F230" s="224"/>
      <c r="G230" s="224"/>
      <c r="H230" s="224"/>
      <c r="I230" s="224"/>
      <c r="J230" s="224"/>
      <c r="K230" s="301"/>
      <c r="L230" s="301" t="s">
        <v>784</v>
      </c>
    </row>
    <row r="231" spans="1:12" x14ac:dyDescent="0.15">
      <c r="A231" s="35" t="s">
        <v>785</v>
      </c>
      <c r="B231" s="35"/>
      <c r="C231" s="35"/>
      <c r="D231" s="35"/>
      <c r="E231" s="236">
        <f ca="1">E229+E230</f>
        <v>7.4017220434424322</v>
      </c>
      <c r="F231" s="224"/>
      <c r="G231" s="224"/>
      <c r="H231" s="225"/>
      <c r="I231" s="70"/>
      <c r="J231" s="225"/>
      <c r="K231" s="301"/>
      <c r="L231" s="301"/>
    </row>
    <row r="232" spans="1:12" x14ac:dyDescent="0.15">
      <c r="A232" s="35" t="s">
        <v>786</v>
      </c>
      <c r="B232" s="35"/>
      <c r="C232" s="35"/>
      <c r="D232" s="35"/>
      <c r="E232" s="237">
        <v>1</v>
      </c>
      <c r="F232" s="70"/>
      <c r="G232" s="227"/>
      <c r="H232" s="227"/>
      <c r="I232" s="227"/>
      <c r="J232" s="227"/>
      <c r="K232" s="301"/>
      <c r="L232" s="301"/>
    </row>
    <row r="233" spans="1:12" x14ac:dyDescent="0.15">
      <c r="A233" s="35" t="s">
        <v>787</v>
      </c>
      <c r="B233" s="35"/>
      <c r="C233" s="35"/>
      <c r="D233" s="35"/>
      <c r="E233" s="236">
        <f ca="1">E231+E232</f>
        <v>8.4017220434424331</v>
      </c>
      <c r="F233" s="70"/>
      <c r="G233" s="70"/>
      <c r="H233" s="70"/>
      <c r="I233" s="227"/>
      <c r="J233" s="227"/>
      <c r="K233" s="301"/>
      <c r="L233" s="301"/>
    </row>
    <row r="234" spans="1:12" x14ac:dyDescent="0.15">
      <c r="A234" s="35" t="s">
        <v>788</v>
      </c>
      <c r="B234" s="35"/>
      <c r="C234" s="35"/>
      <c r="D234" s="35"/>
      <c r="E234" s="228">
        <f>(1+$F$36/2)</f>
        <v>1.03</v>
      </c>
      <c r="F234" s="70"/>
      <c r="G234" s="70"/>
      <c r="H234" s="70"/>
      <c r="I234" s="227"/>
      <c r="J234" s="227"/>
      <c r="K234" s="301"/>
      <c r="L234" s="301" t="s">
        <v>712</v>
      </c>
    </row>
    <row r="235" spans="1:12" x14ac:dyDescent="0.15">
      <c r="A235" s="35" t="s">
        <v>789</v>
      </c>
      <c r="B235" s="35"/>
      <c r="C235" s="35"/>
      <c r="D235" s="35"/>
      <c r="E235" s="235">
        <f ca="1">E233*E234</f>
        <v>8.6537737047457064</v>
      </c>
      <c r="F235" s="70"/>
      <c r="G235" s="70"/>
      <c r="H235" s="70"/>
      <c r="I235" s="227"/>
      <c r="J235" s="227"/>
      <c r="K235" s="301"/>
      <c r="L235" s="301" t="s">
        <v>790</v>
      </c>
    </row>
    <row r="236" spans="1:12" x14ac:dyDescent="0.15">
      <c r="A236" s="35" t="s">
        <v>791</v>
      </c>
      <c r="B236" s="35"/>
      <c r="C236" s="35"/>
      <c r="D236" s="35"/>
      <c r="E236" s="207">
        <f>E220</f>
        <v>33133.300000000003</v>
      </c>
      <c r="F236" s="70"/>
      <c r="G236" s="70"/>
      <c r="H236" s="70"/>
      <c r="I236" s="227"/>
      <c r="J236" s="227"/>
      <c r="K236" s="301"/>
      <c r="L236" s="301"/>
    </row>
    <row r="237" spans="1:12" x14ac:dyDescent="0.15">
      <c r="A237" s="35" t="s">
        <v>766</v>
      </c>
      <c r="B237" s="35"/>
      <c r="C237" s="35"/>
      <c r="D237" s="35"/>
      <c r="E237" s="207">
        <f ca="1">E235*E236</f>
        <v>286728.08029145095</v>
      </c>
      <c r="F237" s="70"/>
      <c r="G237" s="70"/>
      <c r="H237" s="70"/>
      <c r="I237" s="227"/>
      <c r="J237" s="227"/>
      <c r="K237" s="301"/>
      <c r="L237" s="301"/>
    </row>
    <row r="238" spans="1:12" x14ac:dyDescent="0.15">
      <c r="A238" s="35" t="s">
        <v>714</v>
      </c>
      <c r="B238" s="35"/>
      <c r="C238" s="35"/>
      <c r="D238" s="35"/>
      <c r="E238" s="207">
        <f>$F$25</f>
        <v>534.31202099999996</v>
      </c>
      <c r="F238" s="70"/>
      <c r="G238" s="70"/>
      <c r="H238" s="70"/>
      <c r="I238" s="227"/>
      <c r="J238" s="227"/>
      <c r="K238" s="301"/>
      <c r="L238" s="301"/>
    </row>
    <row r="239" spans="1:12" x14ac:dyDescent="0.15">
      <c r="A239" s="35" t="s">
        <v>715</v>
      </c>
      <c r="B239" s="35"/>
      <c r="C239" s="35"/>
      <c r="D239" s="35"/>
      <c r="E239" s="492">
        <f ca="1">E237/E238</f>
        <v>536.63041260950968</v>
      </c>
      <c r="F239" s="70"/>
      <c r="G239" s="70"/>
      <c r="H239" s="70"/>
      <c r="I239" s="227"/>
      <c r="J239" s="227"/>
      <c r="K239" s="301"/>
      <c r="L239" s="301" t="s">
        <v>716</v>
      </c>
    </row>
    <row r="240" spans="1:12" x14ac:dyDescent="0.15">
      <c r="A240" s="35"/>
      <c r="B240" s="35"/>
      <c r="C240" s="35"/>
      <c r="D240" s="35"/>
      <c r="E240" s="70"/>
      <c r="F240" s="70"/>
      <c r="G240" s="70"/>
      <c r="H240" s="229"/>
      <c r="I240" s="227"/>
      <c r="J240" s="227"/>
      <c r="K240" s="301"/>
      <c r="L240" s="301"/>
    </row>
    <row r="241" spans="1:12" x14ac:dyDescent="0.15">
      <c r="A241" s="35" t="s">
        <v>624</v>
      </c>
      <c r="B241" s="35"/>
      <c r="C241" s="35"/>
      <c r="D241" s="35"/>
      <c r="E241" s="229">
        <f>$F$24</f>
        <v>341.85</v>
      </c>
      <c r="F241" s="70"/>
      <c r="G241" s="70"/>
      <c r="H241" s="229"/>
      <c r="I241" s="227"/>
      <c r="J241" s="227"/>
      <c r="K241" s="301"/>
      <c r="L241" s="301"/>
    </row>
    <row r="242" spans="1:12" x14ac:dyDescent="0.15">
      <c r="A242" s="35" t="s">
        <v>717</v>
      </c>
      <c r="B242" s="35"/>
      <c r="C242" s="35"/>
      <c r="D242" s="35"/>
      <c r="E242" s="247">
        <f ca="1">E239/E241-1</f>
        <v>0.56978327514848504</v>
      </c>
      <c r="F242" s="70"/>
      <c r="G242" s="70"/>
      <c r="H242" s="70"/>
      <c r="I242" s="227"/>
      <c r="J242" s="227"/>
      <c r="K242" s="301"/>
      <c r="L242" s="301" t="s">
        <v>718</v>
      </c>
    </row>
    <row r="243" spans="1:12" x14ac:dyDescent="0.15">
      <c r="A243" s="35"/>
      <c r="B243" s="35"/>
      <c r="C243" s="35"/>
      <c r="D243" s="35"/>
      <c r="E243" s="35"/>
      <c r="F243" s="35"/>
      <c r="G243" s="35"/>
      <c r="H243" s="35"/>
      <c r="I243" s="35"/>
      <c r="J243" s="216"/>
      <c r="K243" s="301"/>
      <c r="L243" s="301"/>
    </row>
    <row r="244" spans="1:12" ht="14" thickBot="1" x14ac:dyDescent="0.2">
      <c r="A244" s="202" t="s">
        <v>792</v>
      </c>
      <c r="B244" s="202"/>
      <c r="C244" s="202"/>
      <c r="D244" s="202"/>
      <c r="E244" s="202"/>
      <c r="F244" s="202"/>
      <c r="G244" s="202"/>
      <c r="H244" s="202"/>
      <c r="I244" s="202"/>
      <c r="J244" s="202"/>
      <c r="K244" s="301"/>
      <c r="L244" s="301"/>
    </row>
    <row r="245" spans="1:12" ht="14" thickTop="1" x14ac:dyDescent="0.15">
      <c r="A245" s="190"/>
      <c r="B245" s="190"/>
      <c r="C245" s="190"/>
      <c r="D245" s="190"/>
      <c r="E245" s="190"/>
      <c r="F245" s="190"/>
      <c r="G245" s="190"/>
      <c r="H245" s="190"/>
      <c r="I245" s="190"/>
      <c r="J245" s="190"/>
      <c r="K245" s="301"/>
      <c r="L245" s="301"/>
    </row>
    <row r="246" spans="1:12" ht="14" thickBot="1" x14ac:dyDescent="0.2">
      <c r="A246" s="227"/>
      <c r="B246" s="227"/>
      <c r="C246" s="227"/>
      <c r="D246" s="227"/>
      <c r="E246" s="227"/>
      <c r="F246" s="227"/>
      <c r="G246" s="227"/>
      <c r="H246" s="227"/>
      <c r="I246" s="227"/>
      <c r="J246" s="227"/>
      <c r="K246" s="301"/>
      <c r="L246" s="301"/>
    </row>
    <row r="247" spans="1:12" ht="14" thickTop="1" x14ac:dyDescent="0.15">
      <c r="A247" s="311" t="s">
        <v>414</v>
      </c>
      <c r="B247" s="479"/>
      <c r="C247" s="203" t="str">
        <f>C18</f>
        <v>VALUATION MODELS</v>
      </c>
      <c r="D247" s="203"/>
      <c r="E247" s="480"/>
      <c r="F247" s="480"/>
      <c r="G247" s="480"/>
      <c r="H247" s="480"/>
      <c r="I247" s="480"/>
      <c r="J247" s="481"/>
      <c r="K247" s="301"/>
      <c r="L247" s="301"/>
    </row>
    <row r="248" spans="1:12" x14ac:dyDescent="0.15">
      <c r="A248" s="310" t="str">
        <f>Data!$A$9</f>
        <v>Analyst Name:</v>
      </c>
      <c r="B248" s="477"/>
      <c r="C248" s="84" t="str">
        <f>Data!$B$9</f>
        <v>Durdona Karimova &amp; Vincenzo Giordano</v>
      </c>
      <c r="D248" s="85"/>
      <c r="E248" s="429"/>
      <c r="F248" s="431"/>
      <c r="G248" s="431"/>
      <c r="H248" s="431"/>
      <c r="I248" s="431"/>
      <c r="J248" s="431"/>
      <c r="K248" s="301"/>
      <c r="L248" s="301"/>
    </row>
    <row r="249" spans="1:12" x14ac:dyDescent="0.15">
      <c r="A249" s="310" t="str">
        <f>Data!$A$10</f>
        <v>Company Name:</v>
      </c>
      <c r="B249" s="478"/>
      <c r="C249" s="84" t="str">
        <f>Data!$B$10</f>
        <v>L'Oreal</v>
      </c>
      <c r="D249" s="429"/>
      <c r="E249" s="436"/>
      <c r="F249" s="431"/>
      <c r="G249" s="431"/>
      <c r="H249" s="431"/>
      <c r="I249" s="431"/>
      <c r="J249" s="431"/>
      <c r="K249" s="301"/>
      <c r="L249" s="301"/>
    </row>
    <row r="250" spans="1:12" x14ac:dyDescent="0.15">
      <c r="A250" s="147"/>
      <c r="B250" s="35"/>
      <c r="C250" s="35"/>
      <c r="D250" s="35"/>
      <c r="E250" s="35"/>
      <c r="F250" s="35"/>
      <c r="G250" s="35"/>
      <c r="H250" s="238"/>
      <c r="I250" s="239"/>
      <c r="J250" s="70" t="s">
        <v>690</v>
      </c>
      <c r="K250" s="301"/>
      <c r="L250" s="301"/>
    </row>
    <row r="251" spans="1:12" x14ac:dyDescent="0.15">
      <c r="A251" s="35"/>
      <c r="B251" s="35"/>
      <c r="C251" s="35"/>
      <c r="D251" s="35"/>
      <c r="E251" s="204">
        <v>1</v>
      </c>
      <c r="F251" s="204">
        <v>2</v>
      </c>
      <c r="G251" s="204">
        <v>3</v>
      </c>
      <c r="H251" s="204">
        <v>4</v>
      </c>
      <c r="I251" s="204">
        <v>5</v>
      </c>
      <c r="J251" s="70" t="s">
        <v>691</v>
      </c>
      <c r="K251" s="301"/>
      <c r="L251" s="37" t="s">
        <v>793</v>
      </c>
    </row>
    <row r="252" spans="1:12" x14ac:dyDescent="0.15">
      <c r="A252" s="205" t="s">
        <v>794</v>
      </c>
      <c r="B252" s="205"/>
      <c r="C252" s="205"/>
      <c r="D252" s="205"/>
      <c r="E252" s="206" t="s">
        <v>430</v>
      </c>
      <c r="F252" s="206" t="s">
        <v>431</v>
      </c>
      <c r="G252" s="206" t="s">
        <v>432</v>
      </c>
      <c r="H252" s="206" t="s">
        <v>433</v>
      </c>
      <c r="I252" s="206" t="s">
        <v>434</v>
      </c>
      <c r="J252" s="206" t="s">
        <v>435</v>
      </c>
      <c r="K252" s="301"/>
      <c r="L252" s="482" t="s">
        <v>721</v>
      </c>
    </row>
    <row r="253" spans="1:12" x14ac:dyDescent="0.15">
      <c r="A253" s="35"/>
      <c r="B253" s="35"/>
      <c r="C253" s="35"/>
      <c r="D253" s="35"/>
      <c r="E253" s="70"/>
      <c r="F253" s="70"/>
      <c r="G253" s="70"/>
      <c r="H253" s="70"/>
      <c r="I253" s="70"/>
      <c r="J253" s="70"/>
      <c r="K253" s="301"/>
      <c r="L253" s="301"/>
    </row>
    <row r="254" spans="1:12" x14ac:dyDescent="0.15">
      <c r="A254" s="191" t="s">
        <v>722</v>
      </c>
      <c r="B254" s="35"/>
      <c r="C254" s="35"/>
      <c r="D254" s="35"/>
      <c r="E254" s="210">
        <f ca="1">Forecasts!E307</f>
        <v>21661.311272383489</v>
      </c>
      <c r="F254" s="210">
        <f ca="1">Forecasts!F307</f>
        <v>23525.006165890794</v>
      </c>
      <c r="G254" s="210">
        <f ca="1">Forecasts!G307</f>
        <v>25442.314142609834</v>
      </c>
      <c r="H254" s="210">
        <f ca="1">Forecasts!H307</f>
        <v>27506.408154109449</v>
      </c>
      <c r="I254" s="210">
        <f ca="1">Forecasts!I307</f>
        <v>29729.032010179886</v>
      </c>
      <c r="J254" s="210">
        <f ca="1">Forecasts!J307</f>
        <v>30255.364481065859</v>
      </c>
      <c r="K254" s="301"/>
      <c r="L254" s="301" t="s">
        <v>723</v>
      </c>
    </row>
    <row r="255" spans="1:12" x14ac:dyDescent="0.15">
      <c r="A255" s="35" t="s">
        <v>795</v>
      </c>
      <c r="B255" s="35"/>
      <c r="C255" s="35"/>
      <c r="D255" s="35"/>
      <c r="E255" s="210">
        <f>(-Forecasts!E68-Forecasts!E71-Forecasts!E74)*(1-(-Forecasts!E84/Forecasts!E80))</f>
        <v>40.690013118277015</v>
      </c>
      <c r="F255" s="210">
        <f>(-Forecasts!F68-Forecasts!F71-Forecasts!F74)*(1-(-Forecasts!F84/Forecasts!F80))</f>
        <v>47.482526424831036</v>
      </c>
      <c r="G255" s="210">
        <f>(-Forecasts!G68-Forecasts!G71-Forecasts!G74)*(1-(-Forecasts!G84/Forecasts!G80))</f>
        <v>54.293039883485051</v>
      </c>
      <c r="H255" s="210">
        <f>(-Forecasts!H68-Forecasts!H71-Forecasts!H74)*(1-(-Forecasts!H84/Forecasts!H80))</f>
        <v>61.122093498802087</v>
      </c>
      <c r="I255" s="210">
        <f>(-Forecasts!I68-Forecasts!I71-Forecasts!I74)*(1-(-Forecasts!I84/Forecasts!I80))</f>
        <v>67.970243475481993</v>
      </c>
      <c r="J255" s="210">
        <f>(-Forecasts!J68-Forecasts!J71-Forecasts!J74)*(1-(-Forecasts!J84/Forecasts!J80))</f>
        <v>70.6890532145013</v>
      </c>
      <c r="K255" s="301"/>
      <c r="L255" s="301" t="s">
        <v>796</v>
      </c>
    </row>
    <row r="256" spans="1:12" x14ac:dyDescent="0.15">
      <c r="A256" s="35" t="s">
        <v>797</v>
      </c>
      <c r="B256" s="35"/>
      <c r="C256" s="35"/>
      <c r="D256" s="35"/>
      <c r="E256" s="210">
        <v>0</v>
      </c>
      <c r="F256" s="210">
        <v>0</v>
      </c>
      <c r="G256" s="210">
        <v>0</v>
      </c>
      <c r="H256" s="210">
        <v>0</v>
      </c>
      <c r="I256" s="210">
        <v>0</v>
      </c>
      <c r="J256" s="210">
        <v>0</v>
      </c>
      <c r="K256" s="301"/>
      <c r="L256" s="301" t="s">
        <v>798</v>
      </c>
    </row>
    <row r="257" spans="1:12" x14ac:dyDescent="0.15">
      <c r="A257" s="312" t="s">
        <v>724</v>
      </c>
      <c r="B257" s="35"/>
      <c r="C257" s="35"/>
      <c r="D257" s="35"/>
      <c r="E257" s="240">
        <f ca="1">-Forecasts!E326</f>
        <v>-15353.222080000001</v>
      </c>
      <c r="F257" s="240">
        <f ca="1">-Forecasts!F326</f>
        <v>-16581.479846400016</v>
      </c>
      <c r="G257" s="240">
        <f ca="1">-Forecasts!G326</f>
        <v>-17907.998234111994</v>
      </c>
      <c r="H257" s="240">
        <f ca="1">-Forecasts!H326</f>
        <v>-19340.638092840989</v>
      </c>
      <c r="I257" s="240">
        <f ca="1">-Forecasts!I326</f>
        <v>-20887.88914026822</v>
      </c>
      <c r="J257" s="240">
        <f ca="1">-Forecasts!J326</f>
        <v>-21507.936329374676</v>
      </c>
      <c r="K257" s="301"/>
      <c r="L257" s="301" t="s">
        <v>799</v>
      </c>
    </row>
    <row r="258" spans="1:12" x14ac:dyDescent="0.15">
      <c r="A258" s="35" t="s">
        <v>800</v>
      </c>
      <c r="B258" s="35"/>
      <c r="C258" s="35"/>
      <c r="D258" s="35"/>
      <c r="E258" s="210">
        <f t="shared" ref="E258:J258" ca="1" si="10">SUM(E254:E257)</f>
        <v>6348.7792055017653</v>
      </c>
      <c r="F258" s="210">
        <f t="shared" ca="1" si="10"/>
        <v>6991.0088459156104</v>
      </c>
      <c r="G258" s="210">
        <f t="shared" ca="1" si="10"/>
        <v>7588.608948381323</v>
      </c>
      <c r="H258" s="210">
        <f t="shared" ca="1" si="10"/>
        <v>8226.8921547672617</v>
      </c>
      <c r="I258" s="210">
        <f t="shared" ca="1" si="10"/>
        <v>8909.1131133871495</v>
      </c>
      <c r="J258" s="210">
        <f t="shared" ca="1" si="10"/>
        <v>8818.117204905684</v>
      </c>
      <c r="K258" s="301"/>
      <c r="L258" s="301"/>
    </row>
    <row r="259" spans="1:12" x14ac:dyDescent="0.15">
      <c r="A259" s="191" t="s">
        <v>726</v>
      </c>
      <c r="B259" s="35"/>
      <c r="C259" s="35"/>
      <c r="D259" s="35"/>
      <c r="E259" s="210">
        <f>Forecasts!E315</f>
        <v>-4360.8866005901973</v>
      </c>
      <c r="F259" s="210">
        <f>Forecasts!F315</f>
        <v>-4537.8194005901987</v>
      </c>
      <c r="G259" s="210">
        <f>Forecasts!G315</f>
        <v>-4732.8767317901966</v>
      </c>
      <c r="H259" s="210">
        <f>Forecasts!H315</f>
        <v>-4943.5386494861968</v>
      </c>
      <c r="I259" s="210">
        <f>Forecasts!I315</f>
        <v>-5171.0535205978777</v>
      </c>
      <c r="J259" s="210">
        <f>Forecasts!J315</f>
        <v>-2501.0509961221906</v>
      </c>
      <c r="K259" s="301"/>
      <c r="L259" s="301" t="s">
        <v>727</v>
      </c>
    </row>
    <row r="260" spans="1:12" x14ac:dyDescent="0.15">
      <c r="A260" s="35" t="s">
        <v>801</v>
      </c>
      <c r="B260" s="35"/>
      <c r="C260" s="35"/>
      <c r="D260" s="35"/>
      <c r="E260" s="210">
        <v>0</v>
      </c>
      <c r="F260" s="210">
        <v>0</v>
      </c>
      <c r="G260" s="210">
        <v>0</v>
      </c>
      <c r="H260" s="210">
        <v>0</v>
      </c>
      <c r="I260" s="210">
        <v>0</v>
      </c>
      <c r="J260" s="210">
        <v>0</v>
      </c>
      <c r="K260" s="301"/>
      <c r="L260" s="301" t="s">
        <v>731</v>
      </c>
    </row>
    <row r="261" spans="1:12" x14ac:dyDescent="0.15">
      <c r="A261" s="205" t="s">
        <v>802</v>
      </c>
      <c r="B261" s="205"/>
      <c r="C261" s="205"/>
      <c r="D261" s="205"/>
      <c r="E261" s="213">
        <f t="shared" ref="E261:J261" ca="1" si="11">SUM(E258:E260)</f>
        <v>1987.892604911568</v>
      </c>
      <c r="F261" s="213">
        <f t="shared" ca="1" si="11"/>
        <v>2453.1894453254117</v>
      </c>
      <c r="G261" s="213">
        <f t="shared" ca="1" si="11"/>
        <v>2855.7322165911264</v>
      </c>
      <c r="H261" s="213">
        <f t="shared" ca="1" si="11"/>
        <v>3283.3535052810648</v>
      </c>
      <c r="I261" s="213">
        <f t="shared" ca="1" si="11"/>
        <v>3738.0595927892718</v>
      </c>
      <c r="J261" s="213">
        <f t="shared" ca="1" si="11"/>
        <v>6317.0662087834935</v>
      </c>
      <c r="K261" s="301"/>
      <c r="L261" s="301" t="s">
        <v>803</v>
      </c>
    </row>
    <row r="262" spans="1:12" x14ac:dyDescent="0.15">
      <c r="A262" s="35"/>
      <c r="B262" s="35"/>
      <c r="C262" s="35"/>
      <c r="D262" s="35"/>
      <c r="E262" s="35"/>
      <c r="F262" s="35"/>
      <c r="G262" s="35"/>
      <c r="H262" s="35"/>
      <c r="I262" s="35"/>
      <c r="J262" s="35"/>
      <c r="K262" s="301"/>
      <c r="L262" s="301"/>
    </row>
    <row r="263" spans="1:12" x14ac:dyDescent="0.15">
      <c r="A263" s="35" t="s">
        <v>703</v>
      </c>
      <c r="B263" s="35"/>
      <c r="C263" s="35"/>
      <c r="D263" s="35"/>
      <c r="E263" s="214">
        <f>1/(1+$F$67)^E251</f>
        <v>0.94609134719236765</v>
      </c>
      <c r="F263" s="214">
        <f>1/(1+$F$67)^F251</f>
        <v>0.89508883723226929</v>
      </c>
      <c r="G263" s="214">
        <f>1/(1+$F$67)^G251</f>
        <v>0.84683580387392754</v>
      </c>
      <c r="H263" s="214">
        <f>1/(1+$F$67)^H251</f>
        <v>0.80118402653781573</v>
      </c>
      <c r="I263" s="214">
        <f>1/(1+$F$67)^I251</f>
        <v>0.75799327501616776</v>
      </c>
      <c r="J263" s="214"/>
      <c r="K263" s="301"/>
      <c r="L263" s="301" t="s">
        <v>804</v>
      </c>
    </row>
    <row r="264" spans="1:12" x14ac:dyDescent="0.15">
      <c r="A264" s="35" t="s">
        <v>736</v>
      </c>
      <c r="B264" s="35"/>
      <c r="C264" s="35"/>
      <c r="D264" s="35"/>
      <c r="E264" s="210">
        <f ca="1">E261*E263</f>
        <v>1880.7279926545305</v>
      </c>
      <c r="F264" s="210">
        <f ca="1">F261*F263</f>
        <v>2195.8224881267984</v>
      </c>
      <c r="G264" s="210">
        <f ca="1">G261*G263</f>
        <v>2418.3362872856196</v>
      </c>
      <c r="H264" s="210">
        <f ca="1">H261*H263</f>
        <v>2630.570381908135</v>
      </c>
      <c r="I264" s="210">
        <f ca="1">I261*I263</f>
        <v>2833.4240329439426</v>
      </c>
      <c r="J264" s="210"/>
      <c r="K264" s="301"/>
      <c r="L264" s="301"/>
    </row>
    <row r="265" spans="1:12" x14ac:dyDescent="0.15">
      <c r="A265" s="35" t="s">
        <v>737</v>
      </c>
      <c r="B265" s="35"/>
      <c r="C265" s="35"/>
      <c r="D265" s="35"/>
      <c r="E265" s="210">
        <f ca="1">SUM(E264:I264)</f>
        <v>11958.881182919027</v>
      </c>
      <c r="F265" s="210"/>
      <c r="G265" s="210"/>
      <c r="H265" s="210"/>
      <c r="I265" s="210"/>
      <c r="J265" s="210"/>
      <c r="K265" s="301"/>
      <c r="L265" s="301" t="s">
        <v>805</v>
      </c>
    </row>
    <row r="266" spans="1:12" x14ac:dyDescent="0.15">
      <c r="A266" s="35" t="s">
        <v>708</v>
      </c>
      <c r="B266" s="35"/>
      <c r="C266" s="35"/>
      <c r="D266" s="35"/>
      <c r="E266" s="210">
        <f ca="1">J261/($F$67-$F$29)*$I$263</f>
        <v>281989.63870659383</v>
      </c>
      <c r="F266" s="210"/>
      <c r="G266" s="210"/>
      <c r="H266" s="210"/>
      <c r="I266" s="210"/>
      <c r="J266" s="210"/>
      <c r="K266" s="301"/>
      <c r="L266" s="301" t="s">
        <v>806</v>
      </c>
    </row>
    <row r="267" spans="1:12" x14ac:dyDescent="0.15">
      <c r="A267" s="35" t="s">
        <v>807</v>
      </c>
      <c r="B267" s="35"/>
      <c r="C267" s="35"/>
      <c r="D267" s="35"/>
      <c r="E267" s="210">
        <f ca="1">E265+E266</f>
        <v>293948.51988951286</v>
      </c>
      <c r="F267" s="210"/>
      <c r="G267" s="210"/>
      <c r="H267" s="210"/>
      <c r="I267" s="210"/>
      <c r="J267" s="210"/>
      <c r="K267" s="301"/>
      <c r="L267" s="301" t="s">
        <v>808</v>
      </c>
    </row>
    <row r="268" spans="1:12" x14ac:dyDescent="0.15">
      <c r="A268" s="35" t="s">
        <v>809</v>
      </c>
      <c r="B268" s="35"/>
      <c r="C268" s="35"/>
      <c r="D268" s="35"/>
      <c r="E268" s="210">
        <f>-$F$39</f>
        <v>-6568.2000000000007</v>
      </c>
      <c r="F268" s="35"/>
      <c r="G268" s="210"/>
      <c r="H268" s="210"/>
      <c r="I268" s="210"/>
      <c r="J268" s="210"/>
      <c r="K268" s="301"/>
      <c r="L268" s="301" t="s">
        <v>810</v>
      </c>
    </row>
    <row r="269" spans="1:12" x14ac:dyDescent="0.15">
      <c r="A269" s="35" t="s">
        <v>811</v>
      </c>
      <c r="B269" s="35"/>
      <c r="C269" s="35"/>
      <c r="D269" s="35"/>
      <c r="E269" s="210">
        <f>-$F$45</f>
        <v>-3765.3999999999996</v>
      </c>
      <c r="F269" s="35"/>
      <c r="G269" s="210"/>
      <c r="H269" s="210"/>
      <c r="I269" s="210"/>
      <c r="J269" s="210"/>
      <c r="K269" s="301"/>
      <c r="L269" s="301"/>
    </row>
    <row r="270" spans="1:12" x14ac:dyDescent="0.15">
      <c r="A270" s="35" t="s">
        <v>812</v>
      </c>
      <c r="B270" s="35"/>
      <c r="C270" s="35"/>
      <c r="D270" s="35"/>
      <c r="E270" s="210">
        <f>-Forecasts!D250</f>
        <v>-4.5</v>
      </c>
      <c r="F270" s="35"/>
      <c r="G270" s="35"/>
      <c r="H270" s="210"/>
      <c r="I270" s="210"/>
      <c r="J270" s="210"/>
      <c r="K270" s="301"/>
      <c r="L270" s="301" t="s">
        <v>813</v>
      </c>
    </row>
    <row r="271" spans="1:12" x14ac:dyDescent="0.15">
      <c r="A271" s="35" t="s">
        <v>814</v>
      </c>
      <c r="B271" s="35"/>
      <c r="C271" s="35"/>
      <c r="D271" s="35"/>
      <c r="E271" s="210">
        <v>0</v>
      </c>
      <c r="F271" s="35"/>
      <c r="G271" s="35"/>
      <c r="H271" s="210"/>
      <c r="I271" s="210"/>
      <c r="J271" s="210"/>
      <c r="K271" s="301"/>
      <c r="L271" s="301" t="s">
        <v>815</v>
      </c>
    </row>
    <row r="272" spans="1:12" x14ac:dyDescent="0.15">
      <c r="A272" s="35" t="s">
        <v>765</v>
      </c>
      <c r="B272" s="35"/>
      <c r="C272" s="35"/>
      <c r="D272" s="35"/>
      <c r="E272" s="210">
        <f ca="1">E267+E268+E269+E270+E271</f>
        <v>283610.41988951282</v>
      </c>
      <c r="F272" s="35"/>
      <c r="G272" s="35"/>
      <c r="H272" s="215"/>
      <c r="I272" s="215"/>
      <c r="J272" s="215"/>
      <c r="K272" s="301"/>
      <c r="L272" s="301"/>
    </row>
    <row r="273" spans="1:12" x14ac:dyDescent="0.15">
      <c r="A273" s="35" t="s">
        <v>711</v>
      </c>
      <c r="B273" s="35"/>
      <c r="C273" s="35"/>
      <c r="D273" s="35"/>
      <c r="E273" s="241">
        <f>(1+$F$67/2)</f>
        <v>1.02849019440227</v>
      </c>
      <c r="F273" s="210"/>
      <c r="G273" s="35"/>
      <c r="H273" s="216"/>
      <c r="I273" s="216"/>
      <c r="J273" s="216"/>
      <c r="K273" s="301"/>
      <c r="L273" s="301" t="s">
        <v>712</v>
      </c>
    </row>
    <row r="274" spans="1:12" x14ac:dyDescent="0.15">
      <c r="A274" s="35" t="s">
        <v>766</v>
      </c>
      <c r="B274" s="35"/>
      <c r="C274" s="35"/>
      <c r="D274" s="35"/>
      <c r="E274" s="210">
        <f ca="1">E272*E273</f>
        <v>291690.53588667448</v>
      </c>
      <c r="F274" s="210"/>
      <c r="G274" s="35"/>
      <c r="H274" s="216"/>
      <c r="I274" s="35"/>
      <c r="J274" s="35"/>
      <c r="K274" s="301"/>
      <c r="L274" s="301"/>
    </row>
    <row r="275" spans="1:12" x14ac:dyDescent="0.15">
      <c r="A275" s="35" t="s">
        <v>714</v>
      </c>
      <c r="B275" s="35"/>
      <c r="C275" s="35"/>
      <c r="D275" s="35"/>
      <c r="E275" s="210">
        <f>$F$25</f>
        <v>534.31202099999996</v>
      </c>
      <c r="F275" s="210"/>
      <c r="G275" s="35"/>
      <c r="H275" s="216"/>
      <c r="I275" s="35"/>
      <c r="J275" s="35"/>
      <c r="K275" s="301"/>
      <c r="L275" s="301"/>
    </row>
    <row r="276" spans="1:12" x14ac:dyDescent="0.15">
      <c r="A276" s="35" t="s">
        <v>715</v>
      </c>
      <c r="B276" s="35"/>
      <c r="C276" s="35"/>
      <c r="D276" s="35"/>
      <c r="E276" s="489">
        <f ca="1">E274/E275</f>
        <v>545.91797381005301</v>
      </c>
      <c r="F276" s="210"/>
      <c r="G276" s="35"/>
      <c r="H276" s="216"/>
      <c r="I276" s="35"/>
      <c r="J276" s="35"/>
      <c r="K276" s="301"/>
      <c r="L276" s="301" t="s">
        <v>816</v>
      </c>
    </row>
    <row r="277" spans="1:12" x14ac:dyDescent="0.15">
      <c r="A277" s="35"/>
      <c r="B277" s="35"/>
      <c r="C277" s="35"/>
      <c r="D277" s="35"/>
      <c r="E277" s="35"/>
      <c r="F277" s="35"/>
      <c r="G277" s="35"/>
      <c r="H277" s="216"/>
      <c r="I277" s="35"/>
      <c r="J277" s="35"/>
      <c r="K277" s="301"/>
      <c r="L277" s="301"/>
    </row>
    <row r="278" spans="1:12" x14ac:dyDescent="0.15">
      <c r="A278" s="35" t="s">
        <v>624</v>
      </c>
      <c r="B278" s="35"/>
      <c r="C278" s="35"/>
      <c r="D278" s="35"/>
      <c r="E278" s="211">
        <f>$F$24</f>
        <v>341.85</v>
      </c>
      <c r="F278" s="35"/>
      <c r="G278" s="35"/>
      <c r="H278" s="216"/>
      <c r="I278" s="35"/>
      <c r="J278" s="35"/>
      <c r="K278" s="301"/>
      <c r="L278" s="301"/>
    </row>
    <row r="279" spans="1:12" x14ac:dyDescent="0.15">
      <c r="A279" s="35" t="s">
        <v>717</v>
      </c>
      <c r="B279" s="35"/>
      <c r="C279" s="35"/>
      <c r="D279" s="35"/>
      <c r="E279" s="245">
        <f ca="1">E276/E278-1</f>
        <v>0.59695180286690941</v>
      </c>
      <c r="F279" s="35"/>
      <c r="G279" s="216"/>
      <c r="H279" s="216"/>
      <c r="I279" s="216"/>
      <c r="J279" s="216"/>
      <c r="K279" s="301"/>
      <c r="L279" s="301" t="s">
        <v>718</v>
      </c>
    </row>
    <row r="280" spans="1:12" ht="14" thickBot="1" x14ac:dyDescent="0.2">
      <c r="A280" s="202"/>
      <c r="B280" s="202"/>
      <c r="C280" s="202"/>
      <c r="D280" s="202"/>
      <c r="E280" s="202"/>
      <c r="F280" s="202"/>
      <c r="G280" s="202"/>
      <c r="H280" s="212"/>
      <c r="I280" s="212"/>
      <c r="J280" s="212"/>
      <c r="K280" s="301"/>
      <c r="L280" s="301"/>
    </row>
    <row r="281" spans="1:12" ht="14" thickTop="1" x14ac:dyDescent="0.15">
      <c r="A281" s="190"/>
      <c r="B281" s="190"/>
      <c r="C281" s="190"/>
      <c r="D281" s="190"/>
      <c r="E281" s="190"/>
      <c r="F281" s="190"/>
      <c r="G281" s="190"/>
      <c r="H281" s="231"/>
      <c r="I281" s="231"/>
      <c r="J281" s="231"/>
      <c r="K281" s="301"/>
      <c r="L281" s="301"/>
    </row>
    <row r="296" spans="4:7" x14ac:dyDescent="0.15">
      <c r="D296" s="301"/>
      <c r="E296" s="301"/>
      <c r="F296" s="301"/>
      <c r="G296" s="301"/>
    </row>
    <row r="297" spans="4:7" x14ac:dyDescent="0.15">
      <c r="D297" s="301"/>
      <c r="E297" s="301"/>
      <c r="F297" s="301"/>
      <c r="G297" s="301"/>
    </row>
    <row r="298" spans="4:7" x14ac:dyDescent="0.15">
      <c r="D298" s="301"/>
      <c r="E298" s="301"/>
      <c r="F298" s="301"/>
      <c r="G298" s="301"/>
    </row>
    <row r="299" spans="4:7" x14ac:dyDescent="0.15">
      <c r="D299" s="301"/>
      <c r="E299" s="301"/>
      <c r="F299" s="301"/>
      <c r="G299" s="301"/>
    </row>
  </sheetData>
  <autoFilter ref="E83:I91" xr:uid="{00000000-0001-0000-0400-000000000000}"/>
  <phoneticPr fontId="0" type="noConversion"/>
  <pageMargins left="0.75" right="0.75" top="1" bottom="1" header="0.5" footer="0.5"/>
  <pageSetup scale="75" orientation="portrait" horizontalDpi="300" verticalDpi="300" r:id="rId1"/>
  <headerFooter alignWithMargins="0"/>
  <rowBreaks count="7" manualBreakCount="7">
    <brk id="69" max="16383" man="1"/>
    <brk id="96" max="16383" man="1"/>
    <brk id="126" max="9" man="1"/>
    <brk id="152" max="9" man="1"/>
    <brk id="183" max="16383" man="1"/>
    <brk id="209" max="9" man="1"/>
    <brk id="245" max="9" man="1"/>
  </rowBreaks>
  <colBreaks count="2" manualBreakCount="2">
    <brk id="10" max="231" man="1"/>
    <brk id="12" max="1048575" man="1"/>
  </col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Data</vt:lpstr>
      <vt:lpstr>Analysis</vt:lpstr>
      <vt:lpstr>Forecasts</vt:lpstr>
      <vt:lpstr>Forecast Development</vt:lpstr>
      <vt:lpstr>Valuation</vt:lpstr>
      <vt:lpstr>Analysis!Print_Area</vt:lpstr>
      <vt:lpstr>Data!Print_Area</vt:lpstr>
      <vt:lpstr>'Forecast Development'!Print_Area</vt:lpstr>
      <vt:lpstr>Forecasts!Print_Area</vt:lpstr>
      <vt:lpstr>Valuation!Print_Area</vt:lpstr>
    </vt:vector>
  </TitlesOfParts>
  <Manager/>
  <Company>Kelley School of Business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jwahlen</dc:creator>
  <cp:keywords/>
  <dc:description/>
  <cp:lastModifiedBy>Durdona B. Karimova</cp:lastModifiedBy>
  <cp:revision/>
  <dcterms:created xsi:type="dcterms:W3CDTF">2005-05-04T22:13:45Z</dcterms:created>
  <dcterms:modified xsi:type="dcterms:W3CDTF">2025-05-21T06:52:39Z</dcterms:modified>
  <cp:category/>
  <cp:contentStatus/>
</cp:coreProperties>
</file>