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915"/>
  <workbookPr showInkAnnotation="0" autoCompressPictures="0"/>
  <mc:AlternateContent xmlns:mc="http://schemas.openxmlformats.org/markup-compatibility/2006">
    <mc:Choice Requires="x15">
      <x15ac:absPath xmlns:x15ac="http://schemas.microsoft.com/office/spreadsheetml/2010/11/ac" url="/Users/Daniel.Wood/Sites/consumption_d3/"/>
    </mc:Choice>
  </mc:AlternateContent>
  <bookViews>
    <workbookView xWindow="0" yWindow="460" windowWidth="25600" windowHeight="15460" tabRatio="500"/>
  </bookViews>
  <sheets>
    <sheet name="Data"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65" i="1" l="1"/>
  <c r="B59" i="1"/>
  <c r="F66" i="1"/>
  <c r="C9" i="1"/>
  <c r="E44" i="1"/>
  <c r="E45" i="1"/>
  <c r="G41" i="1"/>
  <c r="F44" i="1"/>
  <c r="F45" i="1"/>
  <c r="G42" i="1"/>
  <c r="G43" i="1"/>
  <c r="F58" i="1"/>
  <c r="C19" i="1"/>
  <c r="B34" i="1"/>
  <c r="C22" i="1"/>
  <c r="C21" i="1"/>
  <c r="C20" i="1"/>
  <c r="C18" i="1"/>
  <c r="A63" i="1"/>
  <c r="F49" i="1"/>
  <c r="F50" i="1"/>
  <c r="F53" i="1"/>
  <c r="C17" i="1"/>
  <c r="A64" i="1"/>
  <c r="B33" i="1"/>
  <c r="B32" i="1"/>
  <c r="E33" i="1"/>
  <c r="F33" i="1"/>
  <c r="B15" i="1"/>
  <c r="C15" i="1"/>
  <c r="C16" i="1"/>
  <c r="B31" i="1"/>
  <c r="B30" i="1"/>
  <c r="C34" i="1"/>
  <c r="D25" i="1"/>
  <c r="F59" i="1"/>
  <c r="C25" i="1"/>
  <c r="B37" i="1"/>
  <c r="B38" i="1"/>
  <c r="D38" i="1"/>
  <c r="F16" i="1"/>
  <c r="F60" i="1"/>
  <c r="E16" i="1"/>
  <c r="D16" i="1"/>
  <c r="B16" i="1"/>
  <c r="D17" i="1"/>
  <c r="C23" i="1"/>
  <c r="B35" i="1"/>
  <c r="C32" i="1"/>
  <c r="F13" i="1"/>
  <c r="F14" i="1"/>
  <c r="C14" i="1"/>
  <c r="E14" i="1"/>
  <c r="D14" i="1"/>
  <c r="B14" i="1"/>
  <c r="C13" i="1"/>
  <c r="B13" i="1"/>
  <c r="E13" i="1"/>
  <c r="D13" i="1"/>
  <c r="F15" i="1"/>
  <c r="E15" i="1"/>
  <c r="D15" i="1"/>
  <c r="F19" i="1"/>
  <c r="E19" i="1"/>
  <c r="D19" i="1"/>
  <c r="B19" i="1"/>
  <c r="B17" i="1"/>
  <c r="F17" i="1"/>
  <c r="E17" i="1"/>
  <c r="C8" i="1"/>
  <c r="F25" i="1"/>
  <c r="D24" i="1"/>
  <c r="C24" i="1"/>
  <c r="F24" i="1"/>
  <c r="E25" i="1"/>
  <c r="E24" i="1"/>
  <c r="B25" i="1"/>
  <c r="B24" i="1"/>
  <c r="B23" i="1"/>
  <c r="F18" i="1"/>
  <c r="E18" i="1"/>
  <c r="D18" i="1"/>
  <c r="B18" i="1"/>
  <c r="B20" i="1"/>
  <c r="D20" i="1"/>
  <c r="E20" i="1"/>
  <c r="F20" i="1"/>
  <c r="F21" i="1"/>
  <c r="E21" i="1"/>
  <c r="D21" i="1"/>
  <c r="B21" i="1"/>
  <c r="F23" i="1"/>
  <c r="E23" i="1"/>
  <c r="D23" i="1"/>
  <c r="F22" i="1"/>
  <c r="D22" i="1"/>
  <c r="E22" i="1"/>
  <c r="B22" i="1"/>
  <c r="C2" i="1"/>
  <c r="H35" i="1"/>
  <c r="B36" i="1"/>
  <c r="H36" i="1"/>
  <c r="H37" i="1"/>
  <c r="G36" i="1"/>
  <c r="G35" i="1"/>
  <c r="G34" i="1"/>
  <c r="G37" i="1"/>
  <c r="F36" i="1"/>
  <c r="F35" i="1"/>
  <c r="F34" i="1"/>
  <c r="F37" i="1"/>
  <c r="E36" i="1"/>
  <c r="E35" i="1"/>
  <c r="E34" i="1"/>
  <c r="E32" i="1"/>
  <c r="E37" i="1"/>
  <c r="C35" i="1"/>
  <c r="C33" i="1"/>
  <c r="C30" i="1"/>
  <c r="C36" i="1"/>
  <c r="C37" i="1"/>
  <c r="H38" i="1"/>
  <c r="G38" i="1"/>
  <c r="F38" i="1"/>
  <c r="E38" i="1"/>
  <c r="C38" i="1"/>
  <c r="D35" i="1"/>
  <c r="D34" i="1"/>
  <c r="D33" i="1"/>
  <c r="D32" i="1"/>
  <c r="D36" i="1"/>
  <c r="C31" i="1"/>
  <c r="D37" i="1"/>
</calcChain>
</file>

<file path=xl/sharedStrings.xml><?xml version="1.0" encoding="utf-8"?>
<sst xmlns="http://schemas.openxmlformats.org/spreadsheetml/2006/main" count="151" uniqueCount="113">
  <si>
    <t>Burrito Year</t>
  </si>
  <si>
    <t>Rushmore</t>
  </si>
  <si>
    <t>Moon Landing</t>
  </si>
  <si>
    <t>kcal/burrit</t>
  </si>
  <si>
    <t>MJ/kg</t>
  </si>
  <si>
    <t>kcal</t>
  </si>
  <si>
    <t>MJ</t>
  </si>
  <si>
    <t>BTU</t>
  </si>
  <si>
    <t>Joules</t>
  </si>
  <si>
    <t>US Therm</t>
  </si>
  <si>
    <t>kWh</t>
  </si>
  <si>
    <t>Burrito</t>
  </si>
  <si>
    <t>NYC Power Year</t>
  </si>
  <si>
    <t>New York Minute</t>
  </si>
  <si>
    <t>New York Hour</t>
  </si>
  <si>
    <t>Wattage of bulb</t>
  </si>
  <si>
    <t xml:space="preserve">Jet Fuel (Kerosene) </t>
  </si>
  <si>
    <t>energy density</t>
  </si>
  <si>
    <t>MJ/L</t>
  </si>
  <si>
    <t>Stage 1</t>
  </si>
  <si>
    <t>Stage 2</t>
  </si>
  <si>
    <t>Stage 3</t>
  </si>
  <si>
    <t>Total</t>
  </si>
  <si>
    <t>Total Liter</t>
  </si>
  <si>
    <t>Liters/Gallon</t>
  </si>
  <si>
    <t>Liquid Hydrogen</t>
  </si>
  <si>
    <t>Unit</t>
  </si>
  <si>
    <t>Total Energy</t>
  </si>
  <si>
    <t>Alderaan</t>
  </si>
  <si>
    <t>http://www.pnas.org/content/112/19/5985.full</t>
  </si>
  <si>
    <t>Burrito Calculations</t>
  </si>
  <si>
    <t>Tortilla</t>
  </si>
  <si>
    <t>Carnitas</t>
  </si>
  <si>
    <t>White Rice</t>
  </si>
  <si>
    <t>Black Beans</t>
  </si>
  <si>
    <t>Fajita Vegetables</t>
  </si>
  <si>
    <t>Corn Salsa</t>
  </si>
  <si>
    <t>Green Salsa</t>
  </si>
  <si>
    <t>Sour Cream</t>
  </si>
  <si>
    <t>Cheese</t>
  </si>
  <si>
    <t>Sum</t>
  </si>
  <si>
    <t>Romaine Lettuce</t>
  </si>
  <si>
    <t>Tomato Salsa</t>
  </si>
  <si>
    <t>https://www.chipotle.com/nutrition-calculator</t>
  </si>
  <si>
    <t>Calories (kcal)</t>
  </si>
  <si>
    <t>https://www.youtube.com/watch?v=bheSgsIBn_U</t>
  </si>
  <si>
    <t>https://www.eia.gov/tools/faqs/faq.cfm?id=87&amp;t=1</t>
  </si>
  <si>
    <t>USA</t>
  </si>
  <si>
    <t>World</t>
  </si>
  <si>
    <t>500 World Years</t>
  </si>
  <si>
    <t>Note Number</t>
  </si>
  <si>
    <t>Descripion</t>
  </si>
  <si>
    <t xml:space="preserve">A "Burrito Year" is our estimate of the average total basal metabolic energy needed for a human to survive for a year. It is the total calories that someone needs each year, OR the number of burritos one would need to eat to stay alive all year if they ate no other food. </t>
  </si>
  <si>
    <t>lbs of dynamite for George Washington</t>
  </si>
  <si>
    <t>http://www.jeanpatrick.com/mount_rushmore_faqs.htm</t>
  </si>
  <si>
    <t>Number of faces</t>
  </si>
  <si>
    <t>Energy Conversions</t>
  </si>
  <si>
    <t>joule</t>
  </si>
  <si>
    <t>kilocalorie</t>
  </si>
  <si>
    <t>kcal/MJ</t>
  </si>
  <si>
    <t>BTU/MJ</t>
  </si>
  <si>
    <t>kwh/MJ</t>
  </si>
  <si>
    <t>joules/megajoules</t>
  </si>
  <si>
    <t>Source</t>
  </si>
  <si>
    <t>http://www.eia.gov/energyexplained/index.cfm?page=about_energy_conversion_calculator</t>
  </si>
  <si>
    <t>https://www.eia.gov/tools/faqs/faq.cfm?id=45&amp;t=8</t>
  </si>
  <si>
    <t>Therm/MJ</t>
  </si>
  <si>
    <t>RF-1 (gallons)</t>
  </si>
  <si>
    <t>LH2 (gallons)</t>
  </si>
  <si>
    <t>J</t>
  </si>
  <si>
    <t>sticks dynamite</t>
  </si>
  <si>
    <t>1 Light Bulb Day</t>
  </si>
  <si>
    <t>Energy Use Per Square Mile</t>
  </si>
  <si>
    <t>sq mi in NYC</t>
  </si>
  <si>
    <t>Rushmores per minute per square mile in NYC</t>
  </si>
  <si>
    <t>Energy use (joules) per minute per square mile in NYC</t>
  </si>
  <si>
    <t>http://www.census.gov/geo/maps-data/data/gazetteer.html</t>
  </si>
  <si>
    <t>http://www1.eere.energy.gov/hydrogenandfuelcells/pdfs/storage.pdf</t>
  </si>
  <si>
    <t>http://hypertextbook.com/facts/2003/EvelynGofman.shtml</t>
  </si>
  <si>
    <t>kg/lb</t>
  </si>
  <si>
    <t>kgs of dynamite for Geo Washington</t>
  </si>
  <si>
    <t>kgs/face</t>
  </si>
  <si>
    <t>kgs/lb</t>
  </si>
  <si>
    <t>lbs/face</t>
  </si>
  <si>
    <t>MJ per kg of dynamite</t>
  </si>
  <si>
    <t>https://books.google.com/books?id=idsQOABCipMC&amp;pg=PA168&amp;lpg=PA168&amp;dq=5+MJ/kg+dynamite&amp;source=bl&amp;ots=lBqyi8H0du&amp;sig=Pg5al45oR8KhOraSExtFSGT2NJU&amp;hl=en&amp;sa=X&amp;ved=0ahUKEwjOp_b5rorNAhXJzz4KHW6VA08Q6AEIRjAE#v=onepage&amp;q=5%20MJ%2Fkg%20dynamite&amp;f=false</t>
  </si>
  <si>
    <t>Alderaan (exploded Planet)</t>
  </si>
  <si>
    <t>Annual Energy of USA</t>
  </si>
  <si>
    <t>Annual Energy of World</t>
  </si>
  <si>
    <t>New York Day</t>
  </si>
  <si>
    <t>New York Year</t>
  </si>
  <si>
    <t>1 Light Bulb Hour</t>
  </si>
  <si>
    <t>Burritos/Year</t>
  </si>
  <si>
    <t>Name</t>
  </si>
  <si>
    <t>If you had a</t>
  </si>
  <si>
    <t>It would be equal To</t>
  </si>
  <si>
    <t>Calories for a Year</t>
  </si>
  <si>
    <t>Calories per day</t>
  </si>
  <si>
    <t>Calories per year</t>
  </si>
  <si>
    <t>burritos per year</t>
  </si>
  <si>
    <t>bur/year</t>
  </si>
  <si>
    <t>See Below</t>
  </si>
  <si>
    <t>Of all our calculations, this one is probably the most "back of the envelope" for a number of reasons. 1) It was difficult to find a reliable source for the amount of dynamite used to carve Mt. Rushmore.  The amount 6000 lbs of dynamite for George Washington's face was found on a website of children's author Jean Patrick, who has written a book on the subject. This is not an ideal source but it is what we have. 2) We have no way of being sure that multiplying that number by 4 is the total amount of dynamite used (24,000 lbs). But this is just for fun, so we're not too worried about it. 3) In the podcast I incorrectly calculated a Rushmore assuming that there was about 2.5 MJ/kg of dynamite. In reality, that number is closer to 5. The numbers above are more correct.</t>
  </si>
  <si>
    <t>Sources</t>
  </si>
  <si>
    <r>
      <t>Alderaan</t>
    </r>
    <r>
      <rPr>
        <vertAlign val="superscript"/>
        <sz val="12"/>
        <color theme="1"/>
        <rFont val="Calibri (Body)"/>
      </rPr>
      <t>1</t>
    </r>
  </si>
  <si>
    <t xml:space="preserve">Alderaan, a fictional planet from Star Wars, was destroyed in A New Hope by the Death Star. On our recent video on "the Energy of Star Wars", Los Alamos National Laboratory Scientist Cathy Plesko did a back of the envelope calculation to estimate the amount of energy needed by the Death Star to cause Alderaan to explode (as it does in the film). She is an expert in asteroid and comet collisions with planets. So we'll take her word on this one. </t>
  </si>
  <si>
    <r>
      <t xml:space="preserve">Mt. Rushmore </t>
    </r>
    <r>
      <rPr>
        <b/>
        <vertAlign val="superscript"/>
        <sz val="12"/>
        <rFont val="Calibri (Body)"/>
      </rPr>
      <t>3</t>
    </r>
  </si>
  <si>
    <r>
      <t>Burrito Year</t>
    </r>
    <r>
      <rPr>
        <vertAlign val="superscript"/>
        <sz val="12"/>
        <color theme="1"/>
        <rFont val="Calibri (Body)"/>
      </rPr>
      <t>2</t>
    </r>
  </si>
  <si>
    <t>Calculations</t>
  </si>
  <si>
    <t xml:space="preserve">Parameters </t>
  </si>
  <si>
    <t>Unit Comparisons</t>
  </si>
  <si>
    <t>Direct Current Unit Comparison Matrix</t>
  </si>
  <si>
    <t>Notes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</si>
</sst>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_-;\-* #,##0_-;_-* &quot;-&quot;??_-;_-@_-"/>
    <numFmt numFmtId="165" formatCode="0.000"/>
    <numFmt numFmtId="166" formatCode="_-* #,##0.000_-;\-* #,##0.000_-;_-* &quot;-&quot;??_-;_-@_-"/>
  </numFmts>
  <fonts count="12"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vertAlign val="superscript"/>
      <sz val="12"/>
      <color theme="1"/>
      <name val="Calibri (Body)"/>
    </font>
    <font>
      <b/>
      <sz val="12"/>
      <color theme="1"/>
      <name val="Calibri"/>
      <family val="2"/>
      <scheme val="minor"/>
    </font>
    <font>
      <b/>
      <sz val="12"/>
      <name val="Calibri"/>
      <family val="2"/>
      <scheme val="minor"/>
    </font>
    <font>
      <sz val="12"/>
      <name val="Calibri"/>
      <family val="2"/>
      <scheme val="minor"/>
    </font>
    <font>
      <b/>
      <vertAlign val="superscript"/>
      <sz val="12"/>
      <name val="Calibri (Body)"/>
    </font>
    <font>
      <b/>
      <sz val="22"/>
      <color theme="1"/>
      <name val="Calibri"/>
      <family val="2"/>
      <scheme val="minor"/>
    </font>
    <font>
      <b/>
      <sz val="24"/>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39997558519241921"/>
        <bgColor indexed="64"/>
      </patternFill>
    </fill>
    <fill>
      <patternFill patternType="solid">
        <fgColor theme="8" tint="0.79998168889431442"/>
        <bgColor indexed="64"/>
      </patternFill>
    </fill>
  </fills>
  <borders count="2">
    <border>
      <left/>
      <right/>
      <top/>
      <bottom/>
      <diagonal/>
    </border>
    <border>
      <left/>
      <right/>
      <top/>
      <bottom style="thin">
        <color auto="1"/>
      </bottom>
      <diagonal/>
    </border>
  </borders>
  <cellStyleXfs count="2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0">
    <xf numFmtId="0" fontId="0" fillId="0" borderId="0" xfId="0"/>
    <xf numFmtId="43" fontId="0" fillId="0" borderId="0" xfId="1" applyFont="1"/>
    <xf numFmtId="0" fontId="0" fillId="2" borderId="0" xfId="0" applyFill="1"/>
    <xf numFmtId="0" fontId="0" fillId="0" borderId="0" xfId="0" applyBorder="1"/>
    <xf numFmtId="0" fontId="0" fillId="3" borderId="0" xfId="0" applyFill="1"/>
    <xf numFmtId="0" fontId="6" fillId="3" borderId="0" xfId="0" applyFont="1" applyFill="1"/>
    <xf numFmtId="0" fontId="6" fillId="3" borderId="0" xfId="0" applyFont="1" applyFill="1" applyBorder="1"/>
    <xf numFmtId="0" fontId="0" fillId="3" borderId="0" xfId="0" applyFill="1" applyBorder="1"/>
    <xf numFmtId="0" fontId="0" fillId="3" borderId="1" xfId="0" applyFill="1" applyBorder="1"/>
    <xf numFmtId="0" fontId="0" fillId="0" borderId="0" xfId="0" applyFill="1"/>
    <xf numFmtId="0" fontId="4" fillId="0" borderId="0" xfId="0" applyFont="1" applyFill="1"/>
    <xf numFmtId="11" fontId="6" fillId="3" borderId="0" xfId="0" applyNumberFormat="1" applyFont="1" applyFill="1"/>
    <xf numFmtId="0" fontId="0" fillId="4" borderId="0" xfId="0" applyFill="1" applyBorder="1"/>
    <xf numFmtId="11" fontId="0" fillId="4" borderId="0" xfId="1" applyNumberFormat="1" applyFont="1" applyFill="1" applyBorder="1"/>
    <xf numFmtId="11" fontId="0" fillId="4" borderId="0" xfId="0" applyNumberFormat="1" applyFill="1" applyBorder="1"/>
    <xf numFmtId="0" fontId="0" fillId="4" borderId="0" xfId="0" applyFont="1" applyFill="1" applyBorder="1" applyAlignment="1"/>
    <xf numFmtId="164" fontId="6" fillId="4" borderId="0" xfId="1" applyNumberFormat="1" applyFont="1" applyFill="1" applyBorder="1"/>
    <xf numFmtId="0" fontId="0" fillId="4" borderId="0" xfId="0" applyFill="1"/>
    <xf numFmtId="11" fontId="0" fillId="4" borderId="0" xfId="0" applyNumberFormat="1" applyFill="1"/>
    <xf numFmtId="164" fontId="0" fillId="4" borderId="0" xfId="1" applyNumberFormat="1" applyFont="1" applyFill="1"/>
    <xf numFmtId="11" fontId="0" fillId="4" borderId="0" xfId="1" applyNumberFormat="1" applyFont="1" applyFill="1"/>
    <xf numFmtId="165" fontId="0" fillId="4" borderId="0" xfId="0" applyNumberFormat="1" applyFill="1"/>
    <xf numFmtId="164" fontId="6" fillId="4" borderId="0" xfId="1" applyNumberFormat="1" applyFont="1" applyFill="1"/>
    <xf numFmtId="0" fontId="7" fillId="3" borderId="0" xfId="0" applyFont="1" applyFill="1"/>
    <xf numFmtId="0" fontId="8" fillId="3" borderId="0" xfId="0" applyFont="1" applyFill="1"/>
    <xf numFmtId="0" fontId="8" fillId="3" borderId="0" xfId="0" applyFont="1" applyFill="1" applyBorder="1"/>
    <xf numFmtId="0" fontId="8" fillId="3" borderId="1" xfId="0" applyFont="1" applyFill="1" applyBorder="1"/>
    <xf numFmtId="43" fontId="7" fillId="3" borderId="0" xfId="1" applyFont="1" applyFill="1"/>
    <xf numFmtId="43" fontId="6" fillId="3" borderId="0" xfId="0" applyNumberFormat="1" applyFont="1" applyFill="1"/>
    <xf numFmtId="43" fontId="0" fillId="4" borderId="0" xfId="1" applyFont="1" applyFill="1"/>
    <xf numFmtId="0" fontId="0" fillId="0" borderId="0" xfId="0" applyFill="1" applyBorder="1"/>
    <xf numFmtId="11" fontId="0" fillId="0" borderId="0" xfId="0" applyNumberFormat="1" applyFill="1"/>
    <xf numFmtId="164" fontId="6" fillId="0" borderId="0" xfId="1" applyNumberFormat="1" applyFont="1" applyFill="1"/>
    <xf numFmtId="164" fontId="0" fillId="0" borderId="0" xfId="1" applyNumberFormat="1" applyFont="1" applyFill="1"/>
    <xf numFmtId="165" fontId="0" fillId="0" borderId="0" xfId="0" applyNumberFormat="1" applyFill="1"/>
    <xf numFmtId="166" fontId="6" fillId="0" borderId="0" xfId="1" applyNumberFormat="1" applyFont="1" applyFill="1"/>
    <xf numFmtId="11" fontId="0" fillId="0" borderId="0" xfId="1" applyNumberFormat="1" applyFont="1" applyFill="1"/>
    <xf numFmtId="43" fontId="0" fillId="3" borderId="0" xfId="0" applyNumberFormat="1" applyFill="1"/>
    <xf numFmtId="0" fontId="0" fillId="0" borderId="0" xfId="0" applyAlignment="1">
      <alignment horizontal="center" vertical="center"/>
    </xf>
    <xf numFmtId="0" fontId="6" fillId="4" borderId="0" xfId="0" applyFont="1" applyFill="1" applyBorder="1"/>
    <xf numFmtId="0" fontId="10" fillId="0" borderId="0" xfId="0" applyFont="1" applyFill="1" applyBorder="1"/>
    <xf numFmtId="0" fontId="11" fillId="0" borderId="0" xfId="0" applyFont="1" applyFill="1"/>
    <xf numFmtId="0" fontId="11" fillId="0" borderId="0" xfId="0" applyFont="1" applyFill="1" applyBorder="1"/>
    <xf numFmtId="49" fontId="0" fillId="0" borderId="0" xfId="0" applyNumberFormat="1"/>
    <xf numFmtId="0" fontId="11" fillId="0" borderId="0" xfId="0" applyFont="1"/>
    <xf numFmtId="0" fontId="4" fillId="3" borderId="0" xfId="0" applyFont="1" applyFill="1"/>
    <xf numFmtId="0" fontId="0" fillId="3" borderId="0" xfId="0" applyFont="1" applyFill="1"/>
    <xf numFmtId="0" fontId="6" fillId="4" borderId="0" xfId="0" applyFont="1" applyFill="1"/>
    <xf numFmtId="0" fontId="6" fillId="0" borderId="0" xfId="0" applyFont="1"/>
    <xf numFmtId="49" fontId="0" fillId="0" borderId="0" xfId="0" applyNumberFormat="1" applyAlignment="1">
      <alignment horizontal="left" vertical="top" wrapText="1"/>
    </xf>
  </cellXfs>
  <cellStyles count="24">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3</xdr:col>
      <xdr:colOff>0</xdr:colOff>
      <xdr:row>11</xdr:row>
      <xdr:rowOff>139700</xdr:rowOff>
    </xdr:from>
    <xdr:ext cx="65" cy="172227"/>
    <xdr:sp macro="" textlink="">
      <xdr:nvSpPr>
        <xdr:cNvPr id="2" name="TextBox 1"/>
        <xdr:cNvSpPr txBox="1"/>
      </xdr:nvSpPr>
      <xdr:spPr>
        <a:xfrm>
          <a:off x="7670800" y="3187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0</xdr:colOff>
      <xdr:row>12</xdr:row>
      <xdr:rowOff>139700</xdr:rowOff>
    </xdr:from>
    <xdr:ext cx="65" cy="172227"/>
    <xdr:sp macro="" textlink="">
      <xdr:nvSpPr>
        <xdr:cNvPr id="3" name="TextBox 2"/>
        <xdr:cNvSpPr txBox="1"/>
      </xdr:nvSpPr>
      <xdr:spPr>
        <a:xfrm>
          <a:off x="8763000" y="400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tabSelected="1" workbookViewId="0"/>
  </sheetViews>
  <sheetFormatPr baseColWidth="10" defaultRowHeight="16" x14ac:dyDescent="0.2"/>
  <cols>
    <col min="1" max="1" width="17.5" customWidth="1"/>
    <col min="2" max="2" width="35.83203125" customWidth="1"/>
    <col min="3" max="3" width="32.6640625" customWidth="1"/>
    <col min="4" max="4" width="13.6640625" bestFit="1" customWidth="1"/>
    <col min="5" max="5" width="18.1640625" customWidth="1"/>
    <col min="6" max="6" width="17.1640625" customWidth="1"/>
    <col min="7" max="7" width="16" bestFit="1" customWidth="1"/>
    <col min="8" max="8" width="20.83203125" customWidth="1"/>
    <col min="9" max="9" width="21" bestFit="1" customWidth="1"/>
    <col min="10" max="10" width="25.6640625" customWidth="1"/>
    <col min="11" max="11" width="10.83203125" bestFit="1" customWidth="1"/>
    <col min="12" max="12" width="14.6640625" customWidth="1"/>
    <col min="13" max="13" width="18.5" bestFit="1" customWidth="1"/>
    <col min="14" max="24" width="14.6640625" customWidth="1"/>
  </cols>
  <sheetData>
    <row r="1" spans="1:9" x14ac:dyDescent="0.2">
      <c r="A1" s="48" t="s">
        <v>103</v>
      </c>
      <c r="B1" s="48" t="s">
        <v>109</v>
      </c>
      <c r="E1" s="9"/>
      <c r="H1" s="9"/>
      <c r="I1" s="9"/>
    </row>
    <row r="2" spans="1:9" x14ac:dyDescent="0.2">
      <c r="A2" t="s">
        <v>101</v>
      </c>
      <c r="B2" t="s">
        <v>3</v>
      </c>
      <c r="C2">
        <f>$B$59</f>
        <v>1200</v>
      </c>
      <c r="E2" s="9"/>
      <c r="H2" s="9"/>
      <c r="I2" s="9"/>
    </row>
    <row r="3" spans="1:9" x14ac:dyDescent="0.2">
      <c r="B3" t="s">
        <v>15</v>
      </c>
      <c r="C3">
        <v>100</v>
      </c>
      <c r="E3" s="9"/>
      <c r="H3" s="9"/>
      <c r="I3" s="9"/>
    </row>
    <row r="4" spans="1:9" x14ac:dyDescent="0.2">
      <c r="A4" t="s">
        <v>29</v>
      </c>
      <c r="B4" t="s">
        <v>12</v>
      </c>
      <c r="C4" s="31">
        <v>2.824E+18</v>
      </c>
      <c r="D4" t="s">
        <v>69</v>
      </c>
      <c r="E4" s="9"/>
      <c r="H4" s="9"/>
      <c r="I4" s="9"/>
    </row>
    <row r="5" spans="1:9" ht="19" x14ac:dyDescent="0.2">
      <c r="A5" t="s">
        <v>45</v>
      </c>
      <c r="B5" t="s">
        <v>104</v>
      </c>
      <c r="C5" s="31">
        <v>9.9999999999999998E+23</v>
      </c>
      <c r="D5" t="s">
        <v>69</v>
      </c>
      <c r="E5" s="9"/>
      <c r="H5" s="9"/>
      <c r="I5" s="9"/>
    </row>
    <row r="6" spans="1:9" x14ac:dyDescent="0.2">
      <c r="A6" t="s">
        <v>46</v>
      </c>
      <c r="B6" t="s">
        <v>47</v>
      </c>
      <c r="C6" s="36">
        <v>9.7E+16</v>
      </c>
      <c r="D6" t="s">
        <v>7</v>
      </c>
      <c r="E6" s="9"/>
    </row>
    <row r="7" spans="1:9" x14ac:dyDescent="0.2">
      <c r="A7" t="s">
        <v>46</v>
      </c>
      <c r="B7" t="s">
        <v>48</v>
      </c>
      <c r="C7" s="36">
        <v>5.43E+17</v>
      </c>
      <c r="D7" t="s">
        <v>7</v>
      </c>
      <c r="E7" s="9"/>
    </row>
    <row r="8" spans="1:9" x14ac:dyDescent="0.2">
      <c r="A8" s="9" t="s">
        <v>101</v>
      </c>
      <c r="B8" s="9" t="s">
        <v>1</v>
      </c>
      <c r="C8" s="9">
        <f>14000*4</f>
        <v>56000</v>
      </c>
      <c r="D8" s="9" t="s">
        <v>70</v>
      </c>
      <c r="E8" s="9"/>
      <c r="F8" s="9"/>
    </row>
    <row r="9" spans="1:9" x14ac:dyDescent="0.2">
      <c r="A9" s="9" t="s">
        <v>101</v>
      </c>
      <c r="B9" s="9" t="s">
        <v>92</v>
      </c>
      <c r="C9" s="33">
        <f>$F$66</f>
        <v>669.16666666666663</v>
      </c>
      <c r="D9" s="9"/>
      <c r="E9" s="9"/>
      <c r="F9" s="10"/>
    </row>
    <row r="10" spans="1:9" x14ac:dyDescent="0.2">
      <c r="A10" s="9"/>
      <c r="B10" s="9"/>
      <c r="C10" s="33"/>
      <c r="D10" s="9"/>
      <c r="E10" s="9"/>
      <c r="F10" s="10"/>
    </row>
    <row r="11" spans="1:9" ht="31" x14ac:dyDescent="0.35">
      <c r="A11" s="41" t="s">
        <v>110</v>
      </c>
      <c r="B11" s="9"/>
      <c r="C11" s="9"/>
      <c r="D11" s="9"/>
      <c r="E11" s="9"/>
    </row>
    <row r="12" spans="1:9" x14ac:dyDescent="0.2">
      <c r="A12" s="12" t="s">
        <v>93</v>
      </c>
      <c r="B12" s="12" t="s">
        <v>5</v>
      </c>
      <c r="C12" s="39" t="s">
        <v>8</v>
      </c>
      <c r="D12" s="12" t="s">
        <v>7</v>
      </c>
      <c r="E12" s="12" t="s">
        <v>9</v>
      </c>
      <c r="F12" s="12" t="s">
        <v>10</v>
      </c>
      <c r="G12" s="3"/>
    </row>
    <row r="13" spans="1:9" x14ac:dyDescent="0.2">
      <c r="A13" s="12" t="s">
        <v>91</v>
      </c>
      <c r="B13" s="13">
        <f>C13/$F$58*$F$57</f>
        <v>85.984522644739599</v>
      </c>
      <c r="C13" s="16">
        <f>F13/$F$61*$F$58</f>
        <v>360017.19586134312</v>
      </c>
      <c r="D13" s="13">
        <f t="shared" ref="D13:D23" si="0">C13/$F$58*$F$59</f>
        <v>341.21418643440086</v>
      </c>
      <c r="E13" s="14">
        <f t="shared" ref="E13:E25" si="1">C13/$F$58*$F$60</f>
        <v>3.4121418643440087E-3</v>
      </c>
      <c r="F13" s="14">
        <f>$C$3/1000</f>
        <v>0.1</v>
      </c>
      <c r="G13" s="3"/>
    </row>
    <row r="14" spans="1:9" x14ac:dyDescent="0.2">
      <c r="A14" s="12" t="s">
        <v>71</v>
      </c>
      <c r="B14" s="13">
        <f>C14/$F$58*$F$57</f>
        <v>2063.6285434737506</v>
      </c>
      <c r="C14" s="16">
        <f>F14/$F$61*$F$58</f>
        <v>8640412.7006722353</v>
      </c>
      <c r="D14" s="13">
        <f t="shared" si="0"/>
        <v>8189.1404744256224</v>
      </c>
      <c r="E14" s="14">
        <f t="shared" si="1"/>
        <v>8.1891404744256227E-2</v>
      </c>
      <c r="F14" s="14">
        <f>F13*24</f>
        <v>2.4000000000000004</v>
      </c>
      <c r="G14" s="3"/>
    </row>
    <row r="15" spans="1:9" x14ac:dyDescent="0.2">
      <c r="A15" s="12" t="s">
        <v>11</v>
      </c>
      <c r="B15" s="13">
        <f>$B$59</f>
        <v>1200</v>
      </c>
      <c r="C15" s="16">
        <f>B15/$F$57*$F$58</f>
        <v>5024399.9936893536</v>
      </c>
      <c r="D15" s="13">
        <f t="shared" si="0"/>
        <v>4761.9851936961468</v>
      </c>
      <c r="E15" s="14">
        <f t="shared" si="1"/>
        <v>4.7619851936961471E-2</v>
      </c>
      <c r="F15" s="14">
        <f t="shared" ref="F15:F25" si="2">C15/$F$58*$F$61</f>
        <v>1.3956000022911266</v>
      </c>
      <c r="G15" s="3"/>
    </row>
    <row r="16" spans="1:9" ht="19" x14ac:dyDescent="0.2">
      <c r="A16" s="15" t="s">
        <v>107</v>
      </c>
      <c r="B16" s="13">
        <f t="shared" ref="B16:B25" si="3">C16/$F$58*$F$57</f>
        <v>802999.99999999988</v>
      </c>
      <c r="C16" s="16">
        <f>C15*$C$9</f>
        <v>3362160995.7771254</v>
      </c>
      <c r="D16" s="13">
        <f t="shared" si="0"/>
        <v>3186561.7587816711</v>
      </c>
      <c r="E16" s="14">
        <f t="shared" si="1"/>
        <v>31.865617587816711</v>
      </c>
      <c r="F16" s="14">
        <f t="shared" si="2"/>
        <v>933.88900153314535</v>
      </c>
      <c r="G16" s="3"/>
    </row>
    <row r="17" spans="1:15" x14ac:dyDescent="0.2">
      <c r="A17" s="12" t="s">
        <v>1</v>
      </c>
      <c r="B17" s="13">
        <f t="shared" si="3"/>
        <v>12997795.265306121</v>
      </c>
      <c r="C17" s="16">
        <f>$F$53*$F$58</f>
        <v>54421768707.482986</v>
      </c>
      <c r="D17" s="13">
        <f t="shared" si="0"/>
        <v>51579423.83673469</v>
      </c>
      <c r="E17" s="14">
        <f t="shared" si="1"/>
        <v>515.79423836734691</v>
      </c>
      <c r="F17" s="14">
        <f t="shared" si="2"/>
        <v>15116.435918367346</v>
      </c>
      <c r="G17" s="3"/>
    </row>
    <row r="18" spans="1:15" x14ac:dyDescent="0.2">
      <c r="A18" s="12" t="s">
        <v>13</v>
      </c>
      <c r="B18" s="13">
        <f t="shared" si="3"/>
        <v>1283235529.1324201</v>
      </c>
      <c r="C18" s="16">
        <f>C20/60</f>
        <v>5372907153729.0723</v>
      </c>
      <c r="D18" s="13">
        <f t="shared" si="0"/>
        <v>5092290491.4611874</v>
      </c>
      <c r="E18" s="14">
        <f t="shared" si="1"/>
        <v>50922.904914611878</v>
      </c>
      <c r="F18" s="14">
        <f t="shared" si="2"/>
        <v>1492402.9228310504</v>
      </c>
      <c r="G18" s="3"/>
    </row>
    <row r="19" spans="1:15" x14ac:dyDescent="0.2">
      <c r="A19" s="12" t="s">
        <v>2</v>
      </c>
      <c r="B19" s="13">
        <f t="shared" si="3"/>
        <v>14059692630.675453</v>
      </c>
      <c r="C19" s="16">
        <f>$G$43*$F$58</f>
        <v>58867932970700</v>
      </c>
      <c r="D19" s="13">
        <f t="shared" si="0"/>
        <v>55793373445.996117</v>
      </c>
      <c r="E19" s="14">
        <f t="shared" si="1"/>
        <v>557933.73445996118</v>
      </c>
      <c r="F19" s="14">
        <f t="shared" si="2"/>
        <v>16351422.556319332</v>
      </c>
      <c r="G19" s="3"/>
    </row>
    <row r="20" spans="1:15" x14ac:dyDescent="0.2">
      <c r="A20" s="12" t="s">
        <v>14</v>
      </c>
      <c r="B20" s="13">
        <f t="shared" si="3"/>
        <v>76994131747.945206</v>
      </c>
      <c r="C20" s="16">
        <f>C21/24</f>
        <v>322374429223744.31</v>
      </c>
      <c r="D20" s="13">
        <f t="shared" si="0"/>
        <v>305537429487.67126</v>
      </c>
      <c r="E20" s="14">
        <f t="shared" si="1"/>
        <v>3055374.2948767128</v>
      </c>
      <c r="F20" s="14">
        <f t="shared" si="2"/>
        <v>89544175.369863033</v>
      </c>
      <c r="G20" s="3"/>
    </row>
    <row r="21" spans="1:15" ht="18" customHeight="1" x14ac:dyDescent="0.2">
      <c r="A21" s="12" t="s">
        <v>89</v>
      </c>
      <c r="B21" s="13">
        <f t="shared" si="3"/>
        <v>1847859161950.6848</v>
      </c>
      <c r="C21" s="16">
        <f>C22/365</f>
        <v>7736986301369863</v>
      </c>
      <c r="D21" s="13">
        <f t="shared" si="0"/>
        <v>7332898307704.1094</v>
      </c>
      <c r="E21" s="14">
        <f t="shared" si="1"/>
        <v>73328983.077041104</v>
      </c>
      <c r="F21" s="14">
        <f t="shared" si="2"/>
        <v>2149060208.8767123</v>
      </c>
      <c r="G21" s="3"/>
    </row>
    <row r="22" spans="1:15" x14ac:dyDescent="0.2">
      <c r="A22" s="12" t="s">
        <v>90</v>
      </c>
      <c r="B22" s="13">
        <f t="shared" si="3"/>
        <v>674468594112000</v>
      </c>
      <c r="C22" s="16">
        <f>$C$4</f>
        <v>2.824E+18</v>
      </c>
      <c r="D22" s="13">
        <f t="shared" si="0"/>
        <v>2676507882312000</v>
      </c>
      <c r="E22" s="14">
        <f t="shared" si="1"/>
        <v>26765078823.120003</v>
      </c>
      <c r="F22" s="14">
        <f t="shared" si="2"/>
        <v>784406976240</v>
      </c>
      <c r="G22" s="3"/>
    </row>
    <row r="23" spans="1:15" x14ac:dyDescent="0.2">
      <c r="A23" s="12" t="s">
        <v>86</v>
      </c>
      <c r="B23" s="13">
        <f t="shared" si="3"/>
        <v>2.38834488E+20</v>
      </c>
      <c r="C23" s="16">
        <f>$C$5</f>
        <v>9.9999999999999998E+23</v>
      </c>
      <c r="D23" s="13">
        <f t="shared" si="0"/>
        <v>9.4777191300000003E+20</v>
      </c>
      <c r="E23" s="14">
        <f t="shared" si="1"/>
        <v>9477719130000002</v>
      </c>
      <c r="F23" s="14">
        <f t="shared" si="2"/>
        <v>2.7776451000000003E+17</v>
      </c>
      <c r="G23" s="3"/>
      <c r="H23" s="30"/>
      <c r="I23" s="31"/>
      <c r="J23" s="32"/>
      <c r="K23" s="33"/>
      <c r="L23" s="34"/>
      <c r="M23" s="35"/>
      <c r="N23" s="36"/>
      <c r="O23" s="36"/>
    </row>
    <row r="24" spans="1:15" x14ac:dyDescent="0.2">
      <c r="A24" s="12" t="s">
        <v>87</v>
      </c>
      <c r="B24" s="13">
        <f t="shared" si="3"/>
        <v>2.4443587131284824E+16</v>
      </c>
      <c r="C24" s="16">
        <f>D24/$F$59*$F$58</f>
        <v>1.0234529919014386E+20</v>
      </c>
      <c r="D24" s="13">
        <f>$C$6</f>
        <v>9.7E+16</v>
      </c>
      <c r="E24" s="14">
        <f t="shared" si="1"/>
        <v>970000000000.00012</v>
      </c>
      <c r="F24" s="14">
        <f t="shared" si="2"/>
        <v>28427891880353.707</v>
      </c>
      <c r="G24" s="3"/>
      <c r="H24" s="30"/>
      <c r="I24" s="31"/>
      <c r="J24" s="32"/>
      <c r="K24" s="33"/>
      <c r="L24" s="34"/>
      <c r="M24" s="35"/>
      <c r="N24" s="36"/>
      <c r="O24" s="36"/>
    </row>
    <row r="25" spans="1:15" x14ac:dyDescent="0.2">
      <c r="A25" s="12" t="s">
        <v>88</v>
      </c>
      <c r="B25" s="13">
        <f t="shared" si="3"/>
        <v>1.368336887864707E+17</v>
      </c>
      <c r="C25" s="16">
        <f>D25/$F$59*$F$58</f>
        <v>5.7292265422936198E+20</v>
      </c>
      <c r="D25" s="13">
        <f>$C$7</f>
        <v>5.43E+17</v>
      </c>
      <c r="E25" s="14">
        <f t="shared" si="1"/>
        <v>5430000000000</v>
      </c>
      <c r="F25" s="14">
        <f t="shared" si="2"/>
        <v>159137580319918.19</v>
      </c>
      <c r="G25" s="3"/>
    </row>
    <row r="26" spans="1:15" x14ac:dyDescent="0.2">
      <c r="G26" s="3"/>
    </row>
    <row r="27" spans="1:15" ht="31" x14ac:dyDescent="0.35">
      <c r="A27" s="42" t="s">
        <v>111</v>
      </c>
      <c r="G27" s="3"/>
    </row>
    <row r="28" spans="1:15" x14ac:dyDescent="0.2">
      <c r="A28" s="12"/>
      <c r="B28" s="17"/>
      <c r="C28" s="17" t="s">
        <v>95</v>
      </c>
      <c r="D28" s="17"/>
      <c r="E28" s="17"/>
      <c r="F28" s="17"/>
      <c r="G28" s="17"/>
      <c r="H28" s="17"/>
    </row>
    <row r="29" spans="1:15" x14ac:dyDescent="0.2">
      <c r="A29" s="12" t="s">
        <v>94</v>
      </c>
      <c r="B29" s="17" t="s">
        <v>8</v>
      </c>
      <c r="C29" s="47" t="s">
        <v>11</v>
      </c>
      <c r="D29" s="17" t="s">
        <v>0</v>
      </c>
      <c r="E29" s="17" t="s">
        <v>1</v>
      </c>
      <c r="F29" s="47" t="s">
        <v>13</v>
      </c>
      <c r="G29" s="17" t="s">
        <v>2</v>
      </c>
      <c r="H29" s="17" t="s">
        <v>28</v>
      </c>
      <c r="I29" s="9"/>
    </row>
    <row r="30" spans="1:15" x14ac:dyDescent="0.2">
      <c r="A30" s="12" t="s">
        <v>11</v>
      </c>
      <c r="B30" s="18">
        <f>C15</f>
        <v>5024399.9936893536</v>
      </c>
      <c r="C30" s="22">
        <f t="shared" ref="C30:C37" si="4">B30/B$30</f>
        <v>1</v>
      </c>
      <c r="D30" s="2"/>
      <c r="E30" s="2"/>
      <c r="F30" s="2"/>
      <c r="G30" s="2"/>
      <c r="H30" s="2"/>
    </row>
    <row r="31" spans="1:15" x14ac:dyDescent="0.2">
      <c r="A31" s="12" t="s">
        <v>0</v>
      </c>
      <c r="B31" s="18">
        <f>C16</f>
        <v>3362160995.7771254</v>
      </c>
      <c r="C31" s="22">
        <f t="shared" si="4"/>
        <v>669.16666666666663</v>
      </c>
      <c r="D31" s="17">
        <v>1</v>
      </c>
      <c r="E31" s="2"/>
      <c r="F31" s="2"/>
      <c r="G31" s="2"/>
      <c r="H31" s="2"/>
    </row>
    <row r="32" spans="1:15" x14ac:dyDescent="0.2">
      <c r="A32" s="12" t="s">
        <v>1</v>
      </c>
      <c r="B32" s="18">
        <f>C17</f>
        <v>54421768707.482986</v>
      </c>
      <c r="C32" s="22">
        <f t="shared" si="4"/>
        <v>10831.496054421767</v>
      </c>
      <c r="D32" s="19">
        <f t="shared" ref="D32:D38" si="5">B32/B$31</f>
        <v>16.18654453960912</v>
      </c>
      <c r="E32" s="19">
        <f t="shared" ref="E32:E37" si="6">B32/B$32</f>
        <v>1</v>
      </c>
      <c r="F32" s="2"/>
      <c r="G32" s="2"/>
      <c r="H32" s="2"/>
    </row>
    <row r="33" spans="1:8" x14ac:dyDescent="0.2">
      <c r="A33" s="12" t="s">
        <v>13</v>
      </c>
      <c r="B33" s="29">
        <f>C18</f>
        <v>5372907153729.0723</v>
      </c>
      <c r="C33" s="22">
        <f t="shared" si="4"/>
        <v>1069362.9409436835</v>
      </c>
      <c r="D33" s="22">
        <f t="shared" si="5"/>
        <v>1598.0517174749943</v>
      </c>
      <c r="E33" s="22">
        <f t="shared" si="6"/>
        <v>98.727168949771709</v>
      </c>
      <c r="F33" s="22">
        <f>B33/B$33</f>
        <v>1</v>
      </c>
      <c r="G33" s="2"/>
      <c r="H33" s="2"/>
    </row>
    <row r="34" spans="1:8" x14ac:dyDescent="0.2">
      <c r="A34" s="12" t="s">
        <v>2</v>
      </c>
      <c r="B34" s="29">
        <f>C19</f>
        <v>58867932970700</v>
      </c>
      <c r="C34" s="22">
        <f t="shared" si="4"/>
        <v>11716410.525562879</v>
      </c>
      <c r="D34" s="19">
        <f t="shared" si="5"/>
        <v>17508.957198848635</v>
      </c>
      <c r="E34" s="19">
        <f t="shared" si="6"/>
        <v>1081.6982683366127</v>
      </c>
      <c r="F34" s="22">
        <f>B34/B$33</f>
        <v>10.956439649220933</v>
      </c>
      <c r="G34" s="19">
        <f>B34/B$34</f>
        <v>1</v>
      </c>
      <c r="H34" s="2"/>
    </row>
    <row r="35" spans="1:8" x14ac:dyDescent="0.2">
      <c r="A35" s="12" t="s">
        <v>28</v>
      </c>
      <c r="B35" s="18">
        <f>C23</f>
        <v>9.9999999999999998E+23</v>
      </c>
      <c r="C35" s="22">
        <f t="shared" si="4"/>
        <v>1.9902874E+17</v>
      </c>
      <c r="D35" s="20">
        <f t="shared" si="5"/>
        <v>297427755915317.56</v>
      </c>
      <c r="E35" s="20">
        <f t="shared" si="6"/>
        <v>18375000000000.004</v>
      </c>
      <c r="F35" s="22">
        <f>B35/B$33</f>
        <v>186118980169.97165</v>
      </c>
      <c r="G35" s="19">
        <f>B35/B$34</f>
        <v>16987177051.005413</v>
      </c>
      <c r="H35" s="21">
        <f>B35/B$35</f>
        <v>1</v>
      </c>
    </row>
    <row r="36" spans="1:8" x14ac:dyDescent="0.2">
      <c r="A36" s="12" t="s">
        <v>47</v>
      </c>
      <c r="B36" s="18">
        <f>C24</f>
        <v>1.0234529919014386E+20</v>
      </c>
      <c r="C36" s="22">
        <f t="shared" si="4"/>
        <v>20369655942737.352</v>
      </c>
      <c r="D36" s="20">
        <f t="shared" si="5"/>
        <v>30440332666.606258</v>
      </c>
      <c r="E36" s="19">
        <f t="shared" si="6"/>
        <v>1880594872.6188936</v>
      </c>
      <c r="F36" s="22">
        <f>B36/B$33</f>
        <v>19048402.710460201</v>
      </c>
      <c r="G36" s="19">
        <f>B36/B$34</f>
        <v>1738557.7176810948</v>
      </c>
      <c r="H36" s="21">
        <f>B36/B$35</f>
        <v>1.0234529919014386E-4</v>
      </c>
    </row>
    <row r="37" spans="1:8" x14ac:dyDescent="0.2">
      <c r="A37" s="12" t="s">
        <v>48</v>
      </c>
      <c r="B37" s="18">
        <f>C25</f>
        <v>5.7292265422936198E+20</v>
      </c>
      <c r="C37" s="22">
        <f t="shared" si="4"/>
        <v>114028073988725.59</v>
      </c>
      <c r="D37" s="20">
        <f t="shared" si="5"/>
        <v>170403099360.48657</v>
      </c>
      <c r="E37" s="19">
        <f t="shared" si="6"/>
        <v>10527453771.464527</v>
      </c>
      <c r="F37" s="22">
        <f>B37/B$33</f>
        <v>106631780.12144214</v>
      </c>
      <c r="G37" s="19">
        <f>B37/B$34</f>
        <v>9732338.5639261268</v>
      </c>
      <c r="H37" s="21">
        <f>B37/B$35</f>
        <v>5.72922654229362E-4</v>
      </c>
    </row>
    <row r="38" spans="1:8" x14ac:dyDescent="0.2">
      <c r="A38" s="12" t="s">
        <v>49</v>
      </c>
      <c r="B38" s="18">
        <f>B37*500</f>
        <v>2.8646132711468101E+23</v>
      </c>
      <c r="C38" s="22">
        <f t="shared" ref="C38:H38" si="7">C37*500</f>
        <v>5.70140369943628E+16</v>
      </c>
      <c r="D38" s="20">
        <f t="shared" si="5"/>
        <v>85201549680243.297</v>
      </c>
      <c r="E38" s="18">
        <f t="shared" si="7"/>
        <v>5263726885732.2637</v>
      </c>
      <c r="F38" s="22">
        <f t="shared" si="7"/>
        <v>53315890060.721069</v>
      </c>
      <c r="G38" s="18">
        <f t="shared" si="7"/>
        <v>4866169281.9630632</v>
      </c>
      <c r="H38" s="21">
        <f t="shared" si="7"/>
        <v>0.28646132711468097</v>
      </c>
    </row>
    <row r="39" spans="1:8" ht="29" x14ac:dyDescent="0.35">
      <c r="A39" s="40" t="s">
        <v>108</v>
      </c>
      <c r="G39" s="3"/>
    </row>
    <row r="40" spans="1:8" x14ac:dyDescent="0.2">
      <c r="A40" s="5" t="s">
        <v>2</v>
      </c>
      <c r="B40" s="4" t="s">
        <v>17</v>
      </c>
      <c r="C40" s="4" t="s">
        <v>26</v>
      </c>
      <c r="D40" s="4"/>
      <c r="E40" s="4" t="s">
        <v>67</v>
      </c>
      <c r="F40" s="4" t="s">
        <v>68</v>
      </c>
      <c r="G40" s="4" t="s">
        <v>27</v>
      </c>
      <c r="H40" s="4" t="s">
        <v>63</v>
      </c>
    </row>
    <row r="41" spans="1:8" x14ac:dyDescent="0.2">
      <c r="A41" s="4" t="s">
        <v>16</v>
      </c>
      <c r="B41" s="45">
        <v>35</v>
      </c>
      <c r="C41" s="4" t="s">
        <v>18</v>
      </c>
      <c r="D41" s="4" t="s">
        <v>19</v>
      </c>
      <c r="E41" s="4">
        <v>209000</v>
      </c>
      <c r="F41" s="4">
        <v>0</v>
      </c>
      <c r="G41" s="4">
        <f>B41*E45</f>
        <v>27690274.150000002</v>
      </c>
      <c r="H41" s="4" t="s">
        <v>78</v>
      </c>
    </row>
    <row r="42" spans="1:8" x14ac:dyDescent="0.2">
      <c r="A42" s="4" t="s">
        <v>25</v>
      </c>
      <c r="B42" s="45">
        <v>8.4909999999999997</v>
      </c>
      <c r="C42" s="4" t="s">
        <v>18</v>
      </c>
      <c r="D42" s="4" t="s">
        <v>20</v>
      </c>
      <c r="E42" s="4">
        <v>0</v>
      </c>
      <c r="F42" s="4">
        <v>275000</v>
      </c>
      <c r="G42" s="8">
        <f>B42*F45</f>
        <v>31177658.820700001</v>
      </c>
      <c r="H42" s="8" t="s">
        <v>77</v>
      </c>
    </row>
    <row r="43" spans="1:8" x14ac:dyDescent="0.2">
      <c r="A43" s="4" t="s">
        <v>22</v>
      </c>
      <c r="B43" s="46"/>
      <c r="C43" s="4"/>
      <c r="D43" s="4" t="s">
        <v>21</v>
      </c>
      <c r="E43" s="4">
        <v>0</v>
      </c>
      <c r="F43" s="4">
        <v>695000</v>
      </c>
      <c r="G43" s="5">
        <f>SUM(G41:G42)</f>
        <v>58867932.970700003</v>
      </c>
      <c r="H43" s="5" t="s">
        <v>6</v>
      </c>
    </row>
    <row r="44" spans="1:8" x14ac:dyDescent="0.2">
      <c r="A44" s="4"/>
      <c r="B44" s="4"/>
      <c r="C44" s="4"/>
      <c r="D44" s="4" t="s">
        <v>22</v>
      </c>
      <c r="E44" s="4">
        <f>E41</f>
        <v>209000</v>
      </c>
      <c r="F44" s="4">
        <f>SUM(F42:F43)</f>
        <v>970000</v>
      </c>
    </row>
    <row r="45" spans="1:8" x14ac:dyDescent="0.2">
      <c r="A45" s="4" t="s">
        <v>24</v>
      </c>
      <c r="B45" s="4">
        <v>3.7854100000000002</v>
      </c>
      <c r="C45" s="4"/>
      <c r="D45" s="4" t="s">
        <v>23</v>
      </c>
      <c r="E45" s="4">
        <f>E44*$B$45</f>
        <v>791150.69000000006</v>
      </c>
      <c r="F45" s="4">
        <f>F44*$B$45</f>
        <v>3671847.7</v>
      </c>
    </row>
    <row r="46" spans="1:8" x14ac:dyDescent="0.2">
      <c r="A46" s="3"/>
      <c r="B46" s="3"/>
      <c r="C46" s="3"/>
      <c r="D46" s="3"/>
    </row>
    <row r="47" spans="1:8" ht="19" x14ac:dyDescent="0.2">
      <c r="A47" s="6" t="s">
        <v>30</v>
      </c>
      <c r="B47" s="7" t="s">
        <v>44</v>
      </c>
      <c r="C47" s="7" t="s">
        <v>63</v>
      </c>
      <c r="D47" s="3"/>
      <c r="E47" s="23" t="s">
        <v>106</v>
      </c>
      <c r="F47" s="24"/>
      <c r="G47" s="24"/>
      <c r="H47" s="25" t="s">
        <v>63</v>
      </c>
    </row>
    <row r="48" spans="1:8" x14ac:dyDescent="0.2">
      <c r="A48" s="7" t="s">
        <v>31</v>
      </c>
      <c r="B48" s="7">
        <v>300</v>
      </c>
      <c r="C48" s="7" t="s">
        <v>43</v>
      </c>
      <c r="D48" s="3"/>
      <c r="E48" s="24" t="s">
        <v>53</v>
      </c>
      <c r="F48" s="24">
        <v>6000</v>
      </c>
      <c r="G48" s="24" t="s">
        <v>83</v>
      </c>
      <c r="H48" s="24" t="s">
        <v>54</v>
      </c>
    </row>
    <row r="49" spans="1:8" x14ac:dyDescent="0.2">
      <c r="A49" s="7" t="s">
        <v>32</v>
      </c>
      <c r="B49" s="7">
        <v>210</v>
      </c>
      <c r="C49" s="7"/>
      <c r="D49" s="3"/>
      <c r="E49" s="24" t="s">
        <v>79</v>
      </c>
      <c r="F49" s="24">
        <f>1/2.205</f>
        <v>0.45351473922902491</v>
      </c>
      <c r="G49" s="24" t="s">
        <v>82</v>
      </c>
      <c r="H49" s="24"/>
    </row>
    <row r="50" spans="1:8" x14ac:dyDescent="0.2">
      <c r="A50" s="7" t="s">
        <v>33</v>
      </c>
      <c r="B50" s="7">
        <v>210</v>
      </c>
      <c r="C50" s="7"/>
      <c r="D50" s="3"/>
      <c r="E50" s="24" t="s">
        <v>80</v>
      </c>
      <c r="F50" s="24">
        <f>F49*F48</f>
        <v>2721.0884353741494</v>
      </c>
      <c r="G50" s="24" t="s">
        <v>81</v>
      </c>
      <c r="H50" s="24"/>
    </row>
    <row r="51" spans="1:8" x14ac:dyDescent="0.2">
      <c r="A51" s="7" t="s">
        <v>34</v>
      </c>
      <c r="B51" s="7">
        <v>120</v>
      </c>
      <c r="C51" s="7"/>
      <c r="D51" s="3"/>
      <c r="E51" s="24" t="s">
        <v>84</v>
      </c>
      <c r="F51" s="24">
        <v>5</v>
      </c>
      <c r="G51" s="24" t="s">
        <v>4</v>
      </c>
      <c r="H51" s="24" t="s">
        <v>85</v>
      </c>
    </row>
    <row r="52" spans="1:8" x14ac:dyDescent="0.2">
      <c r="A52" s="7" t="s">
        <v>35</v>
      </c>
      <c r="B52" s="7">
        <v>20</v>
      </c>
      <c r="C52" s="7"/>
      <c r="D52" s="3"/>
      <c r="E52" s="26" t="s">
        <v>55</v>
      </c>
      <c r="F52" s="26">
        <v>4</v>
      </c>
      <c r="G52" s="24"/>
      <c r="H52" s="24"/>
    </row>
    <row r="53" spans="1:8" x14ac:dyDescent="0.2">
      <c r="A53" s="7" t="s">
        <v>42</v>
      </c>
      <c r="B53" s="7">
        <v>25</v>
      </c>
      <c r="C53" s="7"/>
      <c r="D53" s="3"/>
      <c r="E53" s="24"/>
      <c r="F53" s="27">
        <f>F50*F51*F52</f>
        <v>54421.768707482988</v>
      </c>
      <c r="G53" s="23" t="s">
        <v>6</v>
      </c>
      <c r="H53" s="24"/>
    </row>
    <row r="54" spans="1:8" x14ac:dyDescent="0.2">
      <c r="A54" s="7" t="s">
        <v>36</v>
      </c>
      <c r="B54" s="7">
        <v>80</v>
      </c>
      <c r="C54" s="7"/>
      <c r="D54" s="3"/>
    </row>
    <row r="55" spans="1:8" x14ac:dyDescent="0.2">
      <c r="A55" s="7" t="s">
        <v>37</v>
      </c>
      <c r="B55" s="7">
        <v>15</v>
      </c>
      <c r="C55" s="7"/>
      <c r="D55" s="3"/>
    </row>
    <row r="56" spans="1:8" x14ac:dyDescent="0.2">
      <c r="A56" s="7" t="s">
        <v>38</v>
      </c>
      <c r="B56" s="7">
        <v>115</v>
      </c>
      <c r="C56" s="7"/>
      <c r="D56" s="3"/>
      <c r="E56" s="5" t="s">
        <v>56</v>
      </c>
      <c r="F56" s="4">
        <v>1</v>
      </c>
      <c r="G56" s="4" t="s">
        <v>6</v>
      </c>
      <c r="H56" s="4" t="s">
        <v>63</v>
      </c>
    </row>
    <row r="57" spans="1:8" x14ac:dyDescent="0.2">
      <c r="A57" s="7" t="s">
        <v>39</v>
      </c>
      <c r="B57" s="7">
        <v>100</v>
      </c>
      <c r="C57" s="7"/>
      <c r="D57" s="3"/>
      <c r="E57" s="4" t="s">
        <v>58</v>
      </c>
      <c r="F57" s="4">
        <v>238.83448799999999</v>
      </c>
      <c r="G57" s="4" t="s">
        <v>59</v>
      </c>
      <c r="H57" s="4" t="s">
        <v>64</v>
      </c>
    </row>
    <row r="58" spans="1:8" x14ac:dyDescent="0.2">
      <c r="A58" s="8" t="s">
        <v>41</v>
      </c>
      <c r="B58" s="8">
        <v>5</v>
      </c>
      <c r="C58" s="7"/>
      <c r="D58" s="3"/>
      <c r="E58" s="4" t="s">
        <v>57</v>
      </c>
      <c r="F58" s="4">
        <f>F56*1000000</f>
        <v>1000000</v>
      </c>
      <c r="G58" s="4" t="s">
        <v>62</v>
      </c>
      <c r="H58" s="4" t="s">
        <v>64</v>
      </c>
    </row>
    <row r="59" spans="1:8" x14ac:dyDescent="0.2">
      <c r="A59" s="7" t="s">
        <v>40</v>
      </c>
      <c r="B59" s="6">
        <f>SUM(B48:B58)</f>
        <v>1200</v>
      </c>
      <c r="C59" s="6" t="s">
        <v>5</v>
      </c>
      <c r="D59" s="3"/>
      <c r="E59" s="4" t="s">
        <v>7</v>
      </c>
      <c r="F59" s="4">
        <f>947.771913</f>
        <v>947.77191300000004</v>
      </c>
      <c r="G59" s="4" t="s">
        <v>60</v>
      </c>
      <c r="H59" s="4" t="s">
        <v>64</v>
      </c>
    </row>
    <row r="60" spans="1:8" x14ac:dyDescent="0.2">
      <c r="E60" s="4" t="s">
        <v>9</v>
      </c>
      <c r="F60" s="4">
        <f>F59/100000</f>
        <v>9.4777191300000011E-3</v>
      </c>
      <c r="G60" s="4" t="s">
        <v>66</v>
      </c>
      <c r="H60" s="4" t="s">
        <v>65</v>
      </c>
    </row>
    <row r="61" spans="1:8" x14ac:dyDescent="0.2">
      <c r="A61" s="6" t="s">
        <v>72</v>
      </c>
      <c r="B61" s="4"/>
      <c r="C61" s="4" t="s">
        <v>63</v>
      </c>
      <c r="E61" s="4" t="s">
        <v>10</v>
      </c>
      <c r="F61" s="4">
        <v>0.27776451000000002</v>
      </c>
      <c r="G61" s="4" t="s">
        <v>61</v>
      </c>
      <c r="H61" s="4" t="s">
        <v>64</v>
      </c>
    </row>
    <row r="62" spans="1:8" x14ac:dyDescent="0.2">
      <c r="A62" s="6">
        <v>304.60000000000002</v>
      </c>
      <c r="B62" s="7" t="s">
        <v>73</v>
      </c>
      <c r="C62" s="7" t="s">
        <v>76</v>
      </c>
      <c r="D62" s="3"/>
      <c r="E62" s="1"/>
    </row>
    <row r="63" spans="1:8" x14ac:dyDescent="0.2">
      <c r="A63" s="11">
        <f>$C$18/A62</f>
        <v>17639222435.092159</v>
      </c>
      <c r="B63" s="4" t="s">
        <v>75</v>
      </c>
      <c r="C63" s="4"/>
      <c r="E63" s="5" t="s">
        <v>96</v>
      </c>
      <c r="F63" s="4"/>
      <c r="G63" s="4"/>
    </row>
    <row r="64" spans="1:8" x14ac:dyDescent="0.2">
      <c r="A64" s="28">
        <f>A63/C17</f>
        <v>0.32412071224481848</v>
      </c>
      <c r="B64" s="4" t="s">
        <v>74</v>
      </c>
      <c r="C64" s="4"/>
      <c r="E64" s="4" t="s">
        <v>97</v>
      </c>
      <c r="F64" s="4">
        <v>2200</v>
      </c>
      <c r="G64" s="4" t="s">
        <v>5</v>
      </c>
    </row>
    <row r="65" spans="1:8" x14ac:dyDescent="0.2">
      <c r="E65" s="4" t="s">
        <v>98</v>
      </c>
      <c r="F65" s="37">
        <f>F64*365</f>
        <v>803000</v>
      </c>
      <c r="G65" s="4" t="s">
        <v>5</v>
      </c>
    </row>
    <row r="66" spans="1:8" x14ac:dyDescent="0.2">
      <c r="E66" s="4" t="s">
        <v>99</v>
      </c>
      <c r="F66" s="28">
        <f>F65/$B$59</f>
        <v>669.16666666666663</v>
      </c>
      <c r="G66" s="5" t="s">
        <v>100</v>
      </c>
    </row>
    <row r="67" spans="1:8" ht="31" x14ac:dyDescent="0.35">
      <c r="A67" s="44" t="s">
        <v>112</v>
      </c>
    </row>
    <row r="68" spans="1:8" ht="16" customHeight="1" x14ac:dyDescent="0.2">
      <c r="A68" t="s">
        <v>50</v>
      </c>
      <c r="B68" s="43" t="s">
        <v>51</v>
      </c>
      <c r="C68" s="43"/>
      <c r="D68" s="43"/>
      <c r="E68" s="43"/>
      <c r="F68" s="43"/>
      <c r="G68" s="43"/>
    </row>
    <row r="69" spans="1:8" ht="56" customHeight="1" x14ac:dyDescent="0.2">
      <c r="A69" s="38">
        <v>1</v>
      </c>
      <c r="B69" s="49" t="s">
        <v>105</v>
      </c>
      <c r="C69" s="49"/>
      <c r="D69" s="49"/>
      <c r="E69" s="49"/>
      <c r="F69" s="49"/>
      <c r="G69" s="49"/>
      <c r="H69" s="49"/>
    </row>
    <row r="70" spans="1:8" ht="42" customHeight="1" x14ac:dyDescent="0.2">
      <c r="A70" s="38">
        <v>2</v>
      </c>
      <c r="B70" s="49" t="s">
        <v>52</v>
      </c>
      <c r="C70" s="49"/>
      <c r="D70" s="49"/>
      <c r="E70" s="49"/>
      <c r="F70" s="49"/>
      <c r="G70" s="49"/>
      <c r="H70" s="49"/>
    </row>
    <row r="71" spans="1:8" ht="83" customHeight="1" x14ac:dyDescent="0.2">
      <c r="A71" s="38">
        <v>3</v>
      </c>
      <c r="B71" s="49" t="s">
        <v>102</v>
      </c>
      <c r="C71" s="49"/>
      <c r="D71" s="49"/>
      <c r="E71" s="49"/>
      <c r="F71" s="49"/>
      <c r="G71" s="49"/>
      <c r="H71" s="49"/>
    </row>
  </sheetData>
  <mergeCells count="3">
    <mergeCell ref="B69:H69"/>
    <mergeCell ref="B70:H70"/>
    <mergeCell ref="B71:H71"/>
  </mergeCells>
  <pageMargins left="0.75" right="0.75" top="1" bottom="1" header="0.5" footer="0.5"/>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U.S. Department of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Wood</dc:creator>
  <cp:lastModifiedBy>Microsoft Office User</cp:lastModifiedBy>
  <dcterms:created xsi:type="dcterms:W3CDTF">2016-05-20T19:38:44Z</dcterms:created>
  <dcterms:modified xsi:type="dcterms:W3CDTF">2016-06-03T15:31:33Z</dcterms:modified>
</cp:coreProperties>
</file>