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hidePivotFieldList="1"/>
  <xr:revisionPtr revIDLastSave="346" documentId="8_{E4F51191-BEF0-413D-A7AA-1A1E3C6E80A8}" xr6:coauthVersionLast="46" xr6:coauthVersionMax="46" xr10:uidLastSave="{5045D84F-A34A-4584-B440-26F55BEF9234}"/>
  <bookViews>
    <workbookView xWindow="-120" yWindow="-120" windowWidth="29040" windowHeight="15840" tabRatio="891" xr2:uid="{00000000-000D-0000-FFFF-FFFF00000000}"/>
  </bookViews>
  <sheets>
    <sheet name="Dashboard" sheetId="6" r:id="rId1"/>
    <sheet name="Data" sheetId="3" r:id="rId2"/>
    <sheet name="Plan Data" sheetId="13" r:id="rId3"/>
    <sheet name="Test" sheetId="32" state="hidden" r:id="rId4"/>
    <sheet name="Report Actual Pivot" sheetId="22" r:id="rId5"/>
    <sheet name="Report Plan Pivot" sheetId="27" r:id="rId6"/>
    <sheet name="Income v Expense" sheetId="33" r:id="rId7"/>
    <sheet name="PlanvActual by Cat Pivot" sheetId="25" r:id="rId8"/>
    <sheet name="Actual by SubCat Pivot" sheetId="28" r:id="rId9"/>
    <sheet name="PlanvActual by Year Pivot" sheetId="24" r:id="rId10"/>
    <sheet name="Plan Piechart" sheetId="20" r:id="rId11"/>
    <sheet name="Actual Piechart" sheetId="23" r:id="rId12"/>
    <sheet name="IncomevSaving" sheetId="34" r:id="rId13"/>
    <sheet name="UniqueLists" sheetId="21" r:id="rId14"/>
    <sheet name="Payslip" sheetId="31" state="hidden" r:id="rId15"/>
  </sheets>
  <definedNames>
    <definedName name="_xlnm._FilterDatabase" localSheetId="1" hidden="1">Data!$F$1:$F$555</definedName>
    <definedName name="_xlcn.WorksheetConnection_KhanhMonthlyBudget.xlsxData1" hidden="1">Data[]</definedName>
    <definedName name="_xlcn.WorksheetConnection_KhanhMonthlyBudget.xlsxFirst_List1" hidden="1">CategoryTable[]</definedName>
    <definedName name="_xlcn.WorksheetConnection_KhanhMonthlyBudget.xlsxMonth1" hidden="1">Month[]</definedName>
    <definedName name="_xlcn.WorksheetConnection_KhanhMonthlyBudget.xlsxPlan.v.Actual1" hidden="1">Plan_Data[]</definedName>
    <definedName name="_xlcn.WorksheetConnection_KhanhMonthlyBudget.xlsxSecond_List1" hidden="1">SubCategory[]</definedName>
    <definedName name="_xlcn.WorksheetConnection_KhanhMonthlyBudget.xlsxTable241" hidden="1">Year[]</definedName>
    <definedName name="Category">UniqueLists!$B$3:$B$17</definedName>
    <definedName name="Entertainment">UniqueLists!$E$3:$E$12</definedName>
    <definedName name="_xlnm.Extract" localSheetId="1">Data!$N$17</definedName>
    <definedName name="Food">UniqueLists!$J$3:$J$12</definedName>
    <definedName name="Gifts_and_Donations">UniqueLists!$M$3:$M$12</definedName>
    <definedName name="Housing">UniqueLists!$D$3:$D$12</definedName>
    <definedName name="Income">UniqueLists!$Q$3:$Q$12</definedName>
    <definedName name="Insurance">UniqueLists!$H$3:$H$12</definedName>
    <definedName name="Legal">UniqueLists!$O$4:$O$12</definedName>
    <definedName name="Loans">UniqueLists!$G$3:$G$12</definedName>
    <definedName name="Other">SubCategory[Other]</definedName>
    <definedName name="Personal_Care">UniqueLists!$N$3:$N$12</definedName>
    <definedName name="Pets">UniqueLists!$L$3:$L$12</definedName>
    <definedName name="Savings_or_Investments">UniqueLists!$K$3:$K$12</definedName>
    <definedName name="Shopping">UniqueLists!$P$3:$P$12</definedName>
    <definedName name="Slicer_Category1">#N/A</definedName>
    <definedName name="Slicer_Month">#N/A</definedName>
    <definedName name="Slicer_Sub_Category">#N/A</definedName>
    <definedName name="Slicer_Year">#N/A</definedName>
    <definedName name="Taxes">UniqueLists!$I$3:$I$12</definedName>
    <definedName name="Transportation">UniqueLists!$F$3:$F$12</definedName>
  </definedNames>
  <calcPr calcId="191029"/>
  <pivotCaches>
    <pivotCache cacheId="905" r:id="rId16"/>
    <pivotCache cacheId="906" r:id="rId17"/>
    <pivotCache cacheId="907" r:id="rId18"/>
    <pivotCache cacheId="912" r:id="rId19"/>
    <pivotCache cacheId="1811" r:id="rId20"/>
    <pivotCache cacheId="1814" r:id="rId21"/>
    <pivotCache cacheId="1817" r:id="rId22"/>
    <pivotCache cacheId="1820" r:id="rId23"/>
    <pivotCache cacheId="1823" r:id="rId24"/>
    <pivotCache cacheId="1826" r:id="rId25"/>
    <pivotCache cacheId="1829" r:id="rId26"/>
  </pivotCaches>
  <extLst>
    <ext xmlns:x14="http://schemas.microsoft.com/office/spreadsheetml/2009/9/main" uri="{876F7934-8845-4945-9796-88D515C7AA90}">
      <x14:pivotCaches>
        <pivotCache cacheId="874"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4" name="Year" connection="WorksheetConnection_Khanh Monthly Budget.xlsx!Table24"/>
          <x15:modelTable id="Second_List" name="SubCategory" connection="WorksheetConnection_Khanh Monthly Budget.xlsx!Second_List"/>
          <x15:modelTable id="Plan v Actual" name="Plan Data" connection="WorksheetConnection_Khanh Monthly Budget.xlsx!Plan.v.Actual"/>
          <x15:modelTable id="Month" name="Month" connection="WorksheetConnection_Khanh Monthly Budget.xlsx!Month"/>
          <x15:modelTable id="First_List" name="Category" connection="WorksheetConnection_Khanh Monthly Budget.xlsx!First_List"/>
          <x15:modelTable id="Data" name="Data" connection="WorksheetConnection_Khanh Monthly Budget.xlsx!Data"/>
        </x15:modelTables>
        <x15:modelRelationships>
          <x15:modelRelationship fromTable="Plan Data" fromColumn="Category" toTable="Category" toColumn="Category"/>
          <x15:modelRelationship fromTable="Plan Data" fromColumn="Month" toTable="Month" toColumn="Month"/>
          <x15:modelRelationship fromTable="Plan Data" fromColumn="Year" toTable="Year" toColumn="Year"/>
          <x15:modelRelationship fromTable="Data" fromColumn="Category" toTable="Category" toColumn="Category"/>
          <x15:modelRelationship fromTable="Data" fromColumn="Year" toTable="Year" toColumn="Year"/>
          <x15:modelRelationship fromTable="Data" fromColumn="Month" toTable="Month" toColumn="Month"/>
        </x15:modelRelationships>
        <x15:extLst>
          <ext xmlns:x16="http://schemas.microsoft.com/office/spreadsheetml/2014/11/main" uri="{9835A34E-60A6-4A7C-AAB8-D5F71C897F49}">
            <x16:modelTimeGroupings>
              <x16:modelTimeGrouping tableName="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G122" i="13"/>
  <c r="G123" i="13" s="1"/>
  <c r="G124" i="13" s="1"/>
  <c r="G125" i="13" s="1"/>
  <c r="G126" i="13" s="1"/>
  <c r="G127" i="13" s="1"/>
  <c r="G128" i="13" s="1"/>
  <c r="G129" i="13" s="1"/>
  <c r="G130" i="13" s="1"/>
  <c r="G131" i="13" s="1"/>
  <c r="G132" i="13" s="1"/>
  <c r="G133" i="13" s="1"/>
  <c r="G134" i="13" s="1"/>
  <c r="G135" i="13" s="1"/>
  <c r="G136" i="13" s="1"/>
  <c r="G137" i="13"/>
  <c r="G138" i="13" s="1"/>
  <c r="G139" i="13" s="1"/>
  <c r="G140" i="13" s="1"/>
  <c r="G141" i="13" s="1"/>
  <c r="G142" i="13" s="1"/>
  <c r="G143" i="13" s="1"/>
  <c r="G144" i="13" s="1"/>
  <c r="G145" i="13" s="1"/>
  <c r="G146" i="13" s="1"/>
  <c r="G147" i="13" s="1"/>
  <c r="G148" i="13" s="1"/>
  <c r="G149" i="13" s="1"/>
  <c r="G150" i="13" s="1"/>
  <c r="G151" i="13" s="1"/>
  <c r="A540" i="3"/>
  <c r="A538" i="3"/>
  <c r="A500" i="3"/>
  <c r="A501" i="3"/>
  <c r="A484" i="3"/>
  <c r="A480" i="3"/>
  <c r="A479" i="3"/>
  <c r="A474" i="3"/>
  <c r="A475" i="3"/>
  <c r="A466" i="3"/>
  <c r="A467" i="3"/>
  <c r="A469" i="3"/>
  <c r="A468" i="3"/>
  <c r="A464" i="3"/>
  <c r="A456" i="3"/>
  <c r="A449" i="3"/>
  <c r="A450" i="3"/>
  <c r="A451" i="3"/>
  <c r="A439" i="3"/>
  <c r="A445" i="3"/>
  <c r="A440" i="3"/>
  <c r="B540" i="3"/>
  <c r="B538" i="3"/>
  <c r="B500" i="3"/>
  <c r="B501" i="3"/>
  <c r="B484" i="3"/>
  <c r="B480" i="3"/>
  <c r="B479" i="3"/>
  <c r="B474" i="3"/>
  <c r="B475" i="3"/>
  <c r="B466" i="3"/>
  <c r="B467" i="3"/>
  <c r="B469" i="3"/>
  <c r="B468" i="3"/>
  <c r="B464" i="3"/>
  <c r="B456" i="3"/>
  <c r="B449" i="3"/>
  <c r="B450" i="3"/>
  <c r="B451" i="3"/>
  <c r="B439" i="3"/>
  <c r="B445" i="3"/>
  <c r="B440" i="3"/>
  <c r="A554" i="3"/>
  <c r="A555" i="3"/>
  <c r="A553" i="3"/>
  <c r="A548" i="3"/>
  <c r="A549" i="3"/>
  <c r="A550" i="3"/>
  <c r="A543" i="3"/>
  <c r="A544" i="3"/>
  <c r="A545" i="3"/>
  <c r="A536" i="3"/>
  <c r="A537" i="3"/>
  <c r="A532" i="3"/>
  <c r="A533" i="3"/>
  <c r="A534" i="3"/>
  <c r="A535" i="3"/>
  <c r="A528" i="3"/>
  <c r="A529" i="3"/>
  <c r="A530" i="3"/>
  <c r="A531" i="3"/>
  <c r="A520" i="3"/>
  <c r="A521" i="3"/>
  <c r="A522" i="3"/>
  <c r="A518" i="3"/>
  <c r="A519" i="3"/>
  <c r="A506" i="3"/>
  <c r="A507" i="3"/>
  <c r="A508" i="3"/>
  <c r="A509" i="3"/>
  <c r="A494" i="3"/>
  <c r="A495" i="3"/>
  <c r="A496" i="3"/>
  <c r="A497" i="3"/>
  <c r="A498" i="3"/>
  <c r="A499" i="3"/>
  <c r="A487" i="3"/>
  <c r="A481" i="3"/>
  <c r="A482" i="3"/>
  <c r="A483" i="3"/>
  <c r="A478" i="3"/>
  <c r="A470" i="3"/>
  <c r="A471" i="3"/>
  <c r="A472" i="3"/>
  <c r="A473" i="3"/>
  <c r="A462" i="3"/>
  <c r="A463" i="3"/>
  <c r="A459" i="3"/>
  <c r="A460" i="3"/>
  <c r="A454" i="3"/>
  <c r="A455" i="3"/>
  <c r="B554" i="3"/>
  <c r="B555" i="3"/>
  <c r="B553" i="3"/>
  <c r="B548" i="3"/>
  <c r="B549" i="3"/>
  <c r="B550" i="3"/>
  <c r="B543" i="3"/>
  <c r="B544" i="3"/>
  <c r="B545" i="3"/>
  <c r="B536" i="3"/>
  <c r="B537" i="3"/>
  <c r="B532" i="3"/>
  <c r="B533" i="3"/>
  <c r="B534" i="3"/>
  <c r="B535" i="3"/>
  <c r="B528" i="3"/>
  <c r="B529" i="3"/>
  <c r="B530" i="3"/>
  <c r="B531" i="3"/>
  <c r="B520" i="3"/>
  <c r="B521" i="3"/>
  <c r="B522" i="3"/>
  <c r="B518" i="3"/>
  <c r="B519" i="3"/>
  <c r="B506" i="3"/>
  <c r="B507" i="3"/>
  <c r="B508" i="3"/>
  <c r="B509" i="3"/>
  <c r="B494" i="3"/>
  <c r="B495" i="3"/>
  <c r="B496" i="3"/>
  <c r="B497" i="3"/>
  <c r="B498" i="3"/>
  <c r="B499" i="3"/>
  <c r="B487" i="3"/>
  <c r="B481" i="3"/>
  <c r="B482" i="3"/>
  <c r="B483" i="3"/>
  <c r="B478" i="3"/>
  <c r="B470" i="3"/>
  <c r="B471" i="3"/>
  <c r="B472" i="3"/>
  <c r="B473" i="3"/>
  <c r="B462" i="3"/>
  <c r="B463" i="3"/>
  <c r="B459" i="3"/>
  <c r="B460" i="3"/>
  <c r="B454" i="3"/>
  <c r="B455" i="3"/>
  <c r="A551" i="3"/>
  <c r="A552" i="3"/>
  <c r="A546" i="3"/>
  <c r="A547" i="3"/>
  <c r="A541" i="3"/>
  <c r="A542" i="3"/>
  <c r="A539" i="3"/>
  <c r="A523" i="3"/>
  <c r="A524" i="3"/>
  <c r="A525" i="3"/>
  <c r="A526" i="3"/>
  <c r="A527" i="3"/>
  <c r="A516" i="3"/>
  <c r="A517" i="3"/>
  <c r="A513" i="3"/>
  <c r="A514" i="3"/>
  <c r="A515" i="3"/>
  <c r="A511" i="3"/>
  <c r="A512" i="3"/>
  <c r="A510" i="3"/>
  <c r="A502" i="3"/>
  <c r="A503" i="3"/>
  <c r="A504" i="3"/>
  <c r="A505" i="3"/>
  <c r="A493" i="3"/>
  <c r="A489" i="3"/>
  <c r="A490" i="3"/>
  <c r="A491" i="3"/>
  <c r="A492" i="3"/>
  <c r="A488" i="3"/>
  <c r="A485" i="3"/>
  <c r="A486" i="3"/>
  <c r="A476" i="3"/>
  <c r="A477" i="3"/>
  <c r="A453" i="3"/>
  <c r="B551" i="3"/>
  <c r="B552" i="3"/>
  <c r="B546" i="3"/>
  <c r="B547" i="3"/>
  <c r="B541" i="3"/>
  <c r="B542" i="3"/>
  <c r="B539" i="3"/>
  <c r="B523" i="3"/>
  <c r="B524" i="3"/>
  <c r="B525" i="3"/>
  <c r="B526" i="3"/>
  <c r="B527" i="3"/>
  <c r="B516" i="3"/>
  <c r="B517" i="3"/>
  <c r="B513" i="3"/>
  <c r="B514" i="3"/>
  <c r="B515" i="3"/>
  <c r="B511" i="3"/>
  <c r="B512" i="3"/>
  <c r="B510" i="3"/>
  <c r="B502" i="3"/>
  <c r="B503" i="3"/>
  <c r="B504" i="3"/>
  <c r="B505" i="3"/>
  <c r="B493" i="3"/>
  <c r="B489" i="3"/>
  <c r="B490" i="3"/>
  <c r="B491" i="3"/>
  <c r="B492" i="3"/>
  <c r="B488" i="3"/>
  <c r="B485" i="3"/>
  <c r="B486" i="3"/>
  <c r="B476" i="3"/>
  <c r="B477" i="3"/>
  <c r="B453" i="3"/>
  <c r="G107" i="13"/>
  <c r="G108" i="13" s="1"/>
  <c r="F108" i="13"/>
  <c r="F109" i="13"/>
  <c r="F110" i="13"/>
  <c r="F111" i="13"/>
  <c r="F112" i="13"/>
  <c r="F113" i="13"/>
  <c r="F114" i="13"/>
  <c r="F115" i="13"/>
  <c r="F116" i="13"/>
  <c r="F117" i="13"/>
  <c r="F118" i="13"/>
  <c r="F119" i="13"/>
  <c r="F120" i="13"/>
  <c r="F121" i="13"/>
  <c r="F107" i="13"/>
  <c r="F2" i="6"/>
  <c r="G2" i="6"/>
  <c r="G8" i="34"/>
  <c r="G7" i="34"/>
  <c r="O2" i="6"/>
  <c r="N2" i="6"/>
  <c r="J2" i="6"/>
  <c r="H2" i="6" l="1"/>
  <c r="G109" i="13"/>
  <c r="G110" i="13" s="1"/>
  <c r="G111" i="13" s="1"/>
  <c r="G112" i="13" s="1"/>
  <c r="G113" i="13" s="1"/>
  <c r="G114" i="13" s="1"/>
  <c r="G115" i="13" s="1"/>
  <c r="G116" i="13" s="1"/>
  <c r="G117" i="13" s="1"/>
  <c r="G118" i="13" s="1"/>
  <c r="G119" i="13" s="1"/>
  <c r="G120" i="13" s="1"/>
  <c r="G121" i="13" s="1"/>
  <c r="A465" i="3"/>
  <c r="A461" i="3"/>
  <c r="A457" i="3"/>
  <c r="A458" i="3"/>
  <c r="A452" i="3"/>
  <c r="A446" i="3"/>
  <c r="A447" i="3"/>
  <c r="A448" i="3"/>
  <c r="A437" i="3"/>
  <c r="A443" i="3"/>
  <c r="A444" i="3"/>
  <c r="A438" i="3"/>
  <c r="B465" i="3"/>
  <c r="B461" i="3"/>
  <c r="B457" i="3"/>
  <c r="B458" i="3"/>
  <c r="B452" i="3"/>
  <c r="B446" i="3"/>
  <c r="B447" i="3"/>
  <c r="B448" i="3"/>
  <c r="B437" i="3"/>
  <c r="B443" i="3"/>
  <c r="B444" i="3"/>
  <c r="B438" i="3"/>
  <c r="A435" i="3" l="1"/>
  <c r="A427" i="3"/>
  <c r="A421" i="3"/>
  <c r="A422" i="3"/>
  <c r="A417" i="3"/>
  <c r="A418" i="3"/>
  <c r="A419" i="3"/>
  <c r="A415" i="3"/>
  <c r="A416" i="3"/>
  <c r="A410" i="3"/>
  <c r="A411" i="3"/>
  <c r="A412" i="3"/>
  <c r="A413" i="3"/>
  <c r="A407" i="3"/>
  <c r="B435" i="3"/>
  <c r="B427" i="3"/>
  <c r="B421" i="3"/>
  <c r="B422" i="3"/>
  <c r="B417" i="3"/>
  <c r="B418" i="3"/>
  <c r="B419" i="3"/>
  <c r="B415" i="3"/>
  <c r="B416" i="3"/>
  <c r="B410" i="3"/>
  <c r="B411" i="3"/>
  <c r="B412" i="3"/>
  <c r="B413" i="3"/>
  <c r="B407" i="3"/>
  <c r="A2" i="3"/>
  <c r="B2" i="3"/>
  <c r="A3" i="3"/>
  <c r="B3" i="3"/>
  <c r="A4" i="3"/>
  <c r="B4" i="3"/>
  <c r="A5" i="3"/>
  <c r="B5" i="3"/>
  <c r="A6" i="3"/>
  <c r="B6" i="3"/>
  <c r="A8" i="3"/>
  <c r="B8" i="3"/>
  <c r="A7" i="3"/>
  <c r="B7" i="3"/>
  <c r="A9" i="3"/>
  <c r="B9" i="3"/>
  <c r="A10" i="3"/>
  <c r="B10" i="3"/>
  <c r="A11" i="3"/>
  <c r="B11" i="3"/>
  <c r="A14" i="3"/>
  <c r="B14" i="3"/>
  <c r="A12" i="3"/>
  <c r="B12" i="3"/>
  <c r="A13" i="3"/>
  <c r="B13" i="3"/>
  <c r="A15" i="3"/>
  <c r="B15" i="3"/>
  <c r="A16" i="3"/>
  <c r="B16" i="3"/>
  <c r="A17" i="3"/>
  <c r="B17" i="3"/>
  <c r="A18" i="3"/>
  <c r="B18" i="3"/>
  <c r="A19" i="3"/>
  <c r="B19" i="3"/>
  <c r="A20" i="3"/>
  <c r="B20" i="3"/>
  <c r="A22" i="3"/>
  <c r="B22" i="3"/>
  <c r="A21" i="3"/>
  <c r="B21" i="3"/>
  <c r="A24" i="3"/>
  <c r="B24" i="3"/>
  <c r="A23" i="3"/>
  <c r="B23"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1" i="3"/>
  <c r="B41" i="3"/>
  <c r="A40" i="3"/>
  <c r="B40" i="3"/>
  <c r="A42" i="3"/>
  <c r="B42" i="3"/>
  <c r="A43" i="3"/>
  <c r="B43" i="3"/>
  <c r="A44" i="3"/>
  <c r="B44" i="3"/>
  <c r="A45" i="3"/>
  <c r="B45" i="3"/>
  <c r="A46" i="3"/>
  <c r="B46" i="3"/>
  <c r="A47" i="3"/>
  <c r="B47" i="3"/>
  <c r="A48" i="3"/>
  <c r="B48" i="3"/>
  <c r="A49" i="3"/>
  <c r="B49" i="3"/>
  <c r="A50" i="3"/>
  <c r="B50" i="3"/>
  <c r="A52" i="3"/>
  <c r="B52" i="3"/>
  <c r="A51" i="3"/>
  <c r="B51" i="3"/>
  <c r="A56" i="3"/>
  <c r="B56" i="3"/>
  <c r="A53" i="3"/>
  <c r="B53" i="3"/>
  <c r="A55" i="3"/>
  <c r="B55" i="3"/>
  <c r="A54" i="3"/>
  <c r="B54" i="3"/>
  <c r="A57" i="3"/>
  <c r="B57" i="3"/>
  <c r="A59" i="3"/>
  <c r="B59" i="3"/>
  <c r="A58" i="3"/>
  <c r="B58" i="3"/>
  <c r="A60" i="3"/>
  <c r="B60" i="3"/>
  <c r="A61" i="3"/>
  <c r="B61" i="3"/>
  <c r="A62" i="3"/>
  <c r="B62" i="3"/>
  <c r="A64" i="3"/>
  <c r="B64" i="3"/>
  <c r="A63" i="3"/>
  <c r="B63" i="3"/>
  <c r="A65" i="3"/>
  <c r="B65" i="3"/>
  <c r="A67" i="3"/>
  <c r="B67" i="3"/>
  <c r="A66" i="3"/>
  <c r="B66" i="3"/>
  <c r="A68" i="3"/>
  <c r="B68" i="3"/>
  <c r="A69" i="3"/>
  <c r="B69" i="3"/>
  <c r="A70" i="3"/>
  <c r="B70" i="3"/>
  <c r="A71" i="3"/>
  <c r="B71" i="3"/>
  <c r="A72" i="3"/>
  <c r="B72" i="3"/>
  <c r="A74" i="3"/>
  <c r="B74" i="3"/>
  <c r="A73" i="3"/>
  <c r="B73" i="3"/>
  <c r="A75" i="3"/>
  <c r="B75" i="3"/>
  <c r="A76" i="3"/>
  <c r="B76" i="3"/>
  <c r="A78" i="3"/>
  <c r="B78" i="3"/>
  <c r="A77" i="3"/>
  <c r="B77" i="3"/>
  <c r="A79" i="3"/>
  <c r="B79" i="3"/>
  <c r="A80" i="3"/>
  <c r="B80" i="3"/>
  <c r="A81" i="3"/>
  <c r="B81" i="3"/>
  <c r="A82" i="3"/>
  <c r="B82" i="3"/>
  <c r="A85" i="3"/>
  <c r="B85" i="3"/>
  <c r="A83" i="3"/>
  <c r="B83" i="3"/>
  <c r="A84" i="3"/>
  <c r="B84" i="3"/>
  <c r="A87" i="3"/>
  <c r="B87" i="3"/>
  <c r="A88" i="3"/>
  <c r="B88" i="3"/>
  <c r="A86" i="3"/>
  <c r="B86" i="3"/>
  <c r="A89" i="3"/>
  <c r="B89" i="3"/>
  <c r="A90" i="3"/>
  <c r="B90" i="3"/>
  <c r="A91" i="3"/>
  <c r="B91" i="3"/>
  <c r="A92" i="3"/>
  <c r="B92" i="3"/>
  <c r="A93" i="3"/>
  <c r="B93" i="3"/>
  <c r="A94" i="3"/>
  <c r="B94" i="3"/>
  <c r="A96" i="3"/>
  <c r="B96" i="3"/>
  <c r="A97" i="3"/>
  <c r="B97" i="3"/>
  <c r="A95" i="3"/>
  <c r="B95" i="3"/>
  <c r="A98" i="3"/>
  <c r="B98" i="3"/>
  <c r="A99" i="3"/>
  <c r="B99" i="3"/>
  <c r="A100" i="3"/>
  <c r="B100" i="3"/>
  <c r="A101" i="3"/>
  <c r="B101" i="3"/>
  <c r="A102" i="3"/>
  <c r="B102" i="3"/>
  <c r="A103" i="3"/>
  <c r="B103" i="3"/>
  <c r="A105" i="3"/>
  <c r="B105" i="3"/>
  <c r="A104" i="3"/>
  <c r="B104" i="3"/>
  <c r="A107" i="3"/>
  <c r="B107" i="3"/>
  <c r="A106" i="3"/>
  <c r="B106" i="3"/>
  <c r="A109" i="3"/>
  <c r="B109" i="3"/>
  <c r="A108" i="3"/>
  <c r="B108" i="3"/>
  <c r="A110" i="3"/>
  <c r="B110" i="3"/>
  <c r="A111" i="3"/>
  <c r="B111" i="3"/>
  <c r="A112" i="3"/>
  <c r="B112" i="3"/>
  <c r="A113" i="3"/>
  <c r="B113" i="3"/>
  <c r="A115" i="3"/>
  <c r="B115" i="3"/>
  <c r="A114" i="3"/>
  <c r="B114" i="3"/>
  <c r="A116" i="3"/>
  <c r="B116" i="3"/>
  <c r="A117" i="3"/>
  <c r="B117" i="3"/>
  <c r="A118" i="3"/>
  <c r="B118" i="3"/>
  <c r="A119" i="3"/>
  <c r="B119" i="3"/>
  <c r="A120" i="3"/>
  <c r="B120" i="3"/>
  <c r="A121" i="3"/>
  <c r="B121" i="3"/>
  <c r="A122" i="3"/>
  <c r="B122" i="3"/>
  <c r="A124" i="3"/>
  <c r="B124" i="3"/>
  <c r="A123" i="3"/>
  <c r="B123" i="3"/>
  <c r="A127" i="3"/>
  <c r="B127" i="3"/>
  <c r="A126" i="3"/>
  <c r="B126" i="3"/>
  <c r="A125" i="3"/>
  <c r="B125" i="3"/>
  <c r="A128" i="3"/>
  <c r="B128" i="3"/>
  <c r="A130" i="3"/>
  <c r="B130" i="3"/>
  <c r="A129" i="3"/>
  <c r="B129" i="3"/>
  <c r="A132" i="3"/>
  <c r="B132" i="3"/>
  <c r="G132" i="3"/>
  <c r="A131" i="3"/>
  <c r="B131" i="3"/>
  <c r="G131" i="3"/>
  <c r="A133" i="3"/>
  <c r="B133" i="3"/>
  <c r="A134" i="3"/>
  <c r="B134" i="3"/>
  <c r="A137" i="3"/>
  <c r="B137" i="3"/>
  <c r="A136" i="3"/>
  <c r="B136" i="3"/>
  <c r="A135" i="3"/>
  <c r="B135" i="3"/>
  <c r="A139" i="3"/>
  <c r="B139" i="3"/>
  <c r="A138" i="3"/>
  <c r="B138" i="3"/>
  <c r="A140" i="3"/>
  <c r="B140" i="3"/>
  <c r="A141" i="3"/>
  <c r="B141" i="3"/>
  <c r="A142" i="3"/>
  <c r="B142" i="3"/>
  <c r="A143" i="3"/>
  <c r="B143" i="3"/>
  <c r="A144" i="3"/>
  <c r="B144" i="3"/>
  <c r="A146" i="3"/>
  <c r="B146" i="3"/>
  <c r="A145" i="3"/>
  <c r="B145" i="3"/>
  <c r="A147" i="3"/>
  <c r="B147" i="3"/>
  <c r="A148" i="3"/>
  <c r="B148" i="3"/>
  <c r="A149" i="3"/>
  <c r="B149" i="3"/>
  <c r="A150" i="3"/>
  <c r="B150" i="3"/>
  <c r="A152" i="3"/>
  <c r="B152" i="3"/>
  <c r="A151" i="3"/>
  <c r="B151" i="3"/>
  <c r="A154" i="3"/>
  <c r="B154" i="3"/>
  <c r="A153" i="3"/>
  <c r="B153" i="3"/>
  <c r="A155" i="3"/>
  <c r="B155" i="3"/>
  <c r="A157" i="3"/>
  <c r="B157" i="3"/>
  <c r="A158" i="3"/>
  <c r="B158" i="3"/>
  <c r="A156" i="3"/>
  <c r="B156" i="3"/>
  <c r="A159" i="3"/>
  <c r="B159" i="3"/>
  <c r="A160" i="3"/>
  <c r="B160" i="3"/>
  <c r="A161" i="3"/>
  <c r="B161" i="3"/>
  <c r="G161" i="3"/>
  <c r="A164" i="3"/>
  <c r="B164" i="3"/>
  <c r="A162" i="3"/>
  <c r="B162" i="3"/>
  <c r="A163" i="3"/>
  <c r="B163" i="3"/>
  <c r="A165" i="3"/>
  <c r="B165" i="3"/>
  <c r="A166" i="3"/>
  <c r="B166" i="3"/>
  <c r="A167" i="3"/>
  <c r="B167" i="3"/>
  <c r="A168" i="3"/>
  <c r="B168" i="3"/>
  <c r="A169" i="3"/>
  <c r="B169" i="3"/>
  <c r="A170" i="3"/>
  <c r="B170" i="3"/>
  <c r="G170" i="3"/>
  <c r="A172" i="3"/>
  <c r="B172" i="3"/>
  <c r="A171" i="3"/>
  <c r="B171" i="3"/>
  <c r="A173" i="3"/>
  <c r="B173" i="3"/>
  <c r="A174" i="3"/>
  <c r="B174" i="3"/>
  <c r="A175" i="3"/>
  <c r="B175" i="3"/>
  <c r="A176" i="3"/>
  <c r="B176" i="3"/>
  <c r="A178" i="3"/>
  <c r="B178" i="3"/>
  <c r="G178" i="3"/>
  <c r="A179" i="3"/>
  <c r="B179" i="3"/>
  <c r="G179" i="3"/>
  <c r="A177" i="3"/>
  <c r="B177" i="3"/>
  <c r="A180" i="3"/>
  <c r="B180" i="3"/>
  <c r="A181" i="3"/>
  <c r="B181" i="3"/>
  <c r="A182" i="3"/>
  <c r="B182" i="3"/>
  <c r="A183" i="3"/>
  <c r="B183" i="3"/>
  <c r="A184" i="3"/>
  <c r="B184" i="3"/>
  <c r="G184" i="3"/>
  <c r="A186" i="3"/>
  <c r="B186" i="3"/>
  <c r="A185" i="3"/>
  <c r="B185" i="3"/>
  <c r="A187" i="3"/>
  <c r="B187" i="3"/>
  <c r="A188" i="3"/>
  <c r="B188" i="3"/>
  <c r="A190" i="3"/>
  <c r="B190" i="3"/>
  <c r="A189" i="3"/>
  <c r="B189" i="3"/>
  <c r="A191" i="3"/>
  <c r="B191" i="3"/>
  <c r="A192" i="3"/>
  <c r="B192" i="3"/>
  <c r="A193" i="3"/>
  <c r="B193" i="3"/>
  <c r="A194" i="3"/>
  <c r="B194" i="3"/>
  <c r="A195" i="3"/>
  <c r="B195" i="3"/>
  <c r="A196" i="3"/>
  <c r="B196" i="3"/>
  <c r="A197" i="3"/>
  <c r="B197" i="3"/>
  <c r="A198" i="3"/>
  <c r="B198" i="3"/>
  <c r="A199" i="3"/>
  <c r="B199" i="3"/>
  <c r="A202" i="3"/>
  <c r="B202" i="3"/>
  <c r="A200" i="3"/>
  <c r="B200" i="3"/>
  <c r="A201" i="3"/>
  <c r="B201" i="3"/>
  <c r="A203" i="3"/>
  <c r="B203" i="3"/>
  <c r="A204" i="3"/>
  <c r="B204" i="3"/>
  <c r="A205" i="3"/>
  <c r="B205" i="3"/>
  <c r="A206" i="3"/>
  <c r="B206" i="3"/>
  <c r="A207" i="3"/>
  <c r="B207" i="3"/>
  <c r="A208" i="3"/>
  <c r="B208" i="3"/>
  <c r="A209" i="3"/>
  <c r="B209" i="3"/>
  <c r="A210" i="3"/>
  <c r="B210" i="3"/>
  <c r="A212" i="3"/>
  <c r="B212" i="3"/>
  <c r="A211" i="3"/>
  <c r="B211" i="3"/>
  <c r="A213" i="3"/>
  <c r="B213" i="3"/>
  <c r="A214" i="3"/>
  <c r="B214" i="3"/>
  <c r="A215" i="3"/>
  <c r="B215" i="3"/>
  <c r="A218" i="3"/>
  <c r="B218" i="3"/>
  <c r="A219" i="3"/>
  <c r="B219" i="3"/>
  <c r="A216" i="3"/>
  <c r="B216" i="3"/>
  <c r="A217" i="3"/>
  <c r="B217" i="3"/>
  <c r="A220" i="3"/>
  <c r="B220" i="3"/>
  <c r="A221" i="3"/>
  <c r="B221" i="3"/>
  <c r="A222" i="3"/>
  <c r="B222" i="3"/>
  <c r="A226" i="3"/>
  <c r="B226" i="3"/>
  <c r="A225" i="3"/>
  <c r="B225" i="3"/>
  <c r="A224" i="3"/>
  <c r="B224" i="3"/>
  <c r="A223" i="3"/>
  <c r="B223" i="3"/>
  <c r="A228" i="3"/>
  <c r="B228" i="3"/>
  <c r="A227" i="3"/>
  <c r="B227" i="3"/>
  <c r="A231" i="3"/>
  <c r="B231" i="3"/>
  <c r="A229" i="3"/>
  <c r="B229" i="3"/>
  <c r="A232" i="3"/>
  <c r="B232" i="3"/>
  <c r="A230" i="3"/>
  <c r="B230" i="3"/>
  <c r="A233" i="3"/>
  <c r="B233" i="3"/>
  <c r="A234" i="3"/>
  <c r="B234" i="3"/>
  <c r="A235" i="3"/>
  <c r="B235" i="3"/>
  <c r="A236" i="3"/>
  <c r="B236" i="3"/>
  <c r="A237" i="3"/>
  <c r="B237" i="3"/>
  <c r="A238" i="3"/>
  <c r="B238" i="3"/>
  <c r="A239" i="3"/>
  <c r="B239" i="3"/>
  <c r="A240" i="3"/>
  <c r="B240" i="3"/>
  <c r="A241" i="3"/>
  <c r="B241" i="3"/>
  <c r="A244" i="3"/>
  <c r="B244" i="3"/>
  <c r="A243" i="3"/>
  <c r="B243" i="3"/>
  <c r="A242" i="3"/>
  <c r="B242" i="3"/>
  <c r="A246" i="3"/>
  <c r="B246" i="3"/>
  <c r="A245" i="3"/>
  <c r="B245" i="3"/>
  <c r="A247" i="3"/>
  <c r="B247" i="3"/>
  <c r="G247" i="3"/>
  <c r="A248" i="3"/>
  <c r="B248" i="3"/>
  <c r="A249" i="3"/>
  <c r="B249" i="3"/>
  <c r="A250" i="3"/>
  <c r="B250" i="3"/>
  <c r="A251" i="3"/>
  <c r="B251" i="3"/>
  <c r="A252" i="3"/>
  <c r="B252" i="3"/>
  <c r="A253" i="3"/>
  <c r="B253" i="3"/>
  <c r="A254" i="3"/>
  <c r="B254" i="3"/>
  <c r="A256" i="3"/>
  <c r="B256" i="3"/>
  <c r="A255" i="3"/>
  <c r="B255" i="3"/>
  <c r="G255" i="3"/>
  <c r="A259" i="3"/>
  <c r="B259" i="3"/>
  <c r="A257" i="3"/>
  <c r="B257" i="3"/>
  <c r="A258" i="3"/>
  <c r="B258" i="3"/>
  <c r="A261" i="3"/>
  <c r="B261" i="3"/>
  <c r="A260" i="3"/>
  <c r="B260" i="3"/>
  <c r="A262" i="3"/>
  <c r="B262" i="3"/>
  <c r="A263" i="3"/>
  <c r="B263" i="3"/>
  <c r="G263" i="3"/>
  <c r="A264" i="3"/>
  <c r="B264" i="3"/>
  <c r="A265" i="3"/>
  <c r="B265" i="3"/>
  <c r="A266" i="3"/>
  <c r="B266" i="3"/>
  <c r="A267" i="3"/>
  <c r="B267" i="3"/>
  <c r="A268" i="3"/>
  <c r="B268" i="3"/>
  <c r="A269" i="3"/>
  <c r="B269" i="3"/>
  <c r="A272" i="3"/>
  <c r="B272" i="3"/>
  <c r="A270" i="3"/>
  <c r="B270" i="3"/>
  <c r="A271" i="3"/>
  <c r="B271" i="3"/>
  <c r="A273" i="3"/>
  <c r="B273" i="3"/>
  <c r="G273" i="3"/>
  <c r="A275" i="3"/>
  <c r="B275" i="3"/>
  <c r="A274" i="3"/>
  <c r="B274" i="3"/>
  <c r="A278" i="3"/>
  <c r="B278" i="3"/>
  <c r="A276" i="3"/>
  <c r="B276" i="3"/>
  <c r="A279" i="3"/>
  <c r="B279" i="3"/>
  <c r="A277" i="3"/>
  <c r="B277" i="3"/>
  <c r="A280" i="3"/>
  <c r="B280" i="3"/>
  <c r="A281" i="3"/>
  <c r="B281" i="3"/>
  <c r="A283" i="3"/>
  <c r="B283" i="3"/>
  <c r="A282" i="3"/>
  <c r="B282" i="3"/>
  <c r="A285" i="3"/>
  <c r="B285" i="3"/>
  <c r="A286" i="3"/>
  <c r="B286" i="3"/>
  <c r="A284" i="3"/>
  <c r="B284" i="3"/>
  <c r="A287" i="3"/>
  <c r="B287" i="3"/>
  <c r="A288" i="3"/>
  <c r="B288" i="3"/>
  <c r="A289" i="3"/>
  <c r="B289" i="3"/>
  <c r="A290" i="3"/>
  <c r="B290" i="3"/>
  <c r="A293" i="3"/>
  <c r="B293" i="3"/>
  <c r="A291" i="3"/>
  <c r="B291" i="3"/>
  <c r="A292" i="3"/>
  <c r="B292" i="3"/>
  <c r="A294" i="3"/>
  <c r="B294" i="3"/>
  <c r="A295" i="3"/>
  <c r="B295" i="3"/>
  <c r="A296" i="3"/>
  <c r="B296" i="3"/>
  <c r="A297" i="3"/>
  <c r="B297" i="3"/>
  <c r="A298" i="3"/>
  <c r="B298" i="3"/>
  <c r="A299" i="3"/>
  <c r="B299" i="3"/>
  <c r="A300" i="3"/>
  <c r="B300" i="3"/>
  <c r="A301" i="3"/>
  <c r="B301" i="3"/>
  <c r="A303" i="3"/>
  <c r="B303" i="3"/>
  <c r="A302" i="3"/>
  <c r="B302" i="3"/>
  <c r="A306" i="3"/>
  <c r="B306" i="3"/>
  <c r="A307" i="3"/>
  <c r="B307" i="3"/>
  <c r="A305" i="3"/>
  <c r="B305" i="3"/>
  <c r="A304" i="3"/>
  <c r="B304" i="3"/>
  <c r="A308" i="3"/>
  <c r="B308" i="3"/>
  <c r="A309" i="3"/>
  <c r="B309" i="3"/>
  <c r="A310" i="3"/>
  <c r="B310" i="3"/>
  <c r="A313" i="3"/>
  <c r="B313" i="3"/>
  <c r="A311" i="3"/>
  <c r="B311" i="3"/>
  <c r="A312" i="3"/>
  <c r="B312" i="3"/>
  <c r="A314" i="3"/>
  <c r="B314" i="3"/>
  <c r="A315" i="3"/>
  <c r="B315" i="3"/>
  <c r="A316" i="3"/>
  <c r="B316" i="3"/>
  <c r="A317" i="3"/>
  <c r="B317" i="3"/>
  <c r="A318" i="3"/>
  <c r="B318" i="3"/>
  <c r="A319" i="3"/>
  <c r="B319" i="3"/>
  <c r="A321" i="3"/>
  <c r="B321" i="3"/>
  <c r="A320" i="3"/>
  <c r="B320" i="3"/>
  <c r="A322" i="3"/>
  <c r="B322" i="3"/>
  <c r="A323" i="3"/>
  <c r="B323" i="3"/>
  <c r="A325" i="3"/>
  <c r="B325" i="3"/>
  <c r="A326" i="3"/>
  <c r="B326" i="3"/>
  <c r="A324" i="3"/>
  <c r="B324" i="3"/>
  <c r="A327" i="3"/>
  <c r="B327" i="3"/>
  <c r="A329" i="3"/>
  <c r="B329" i="3"/>
  <c r="A328" i="3"/>
  <c r="B328" i="3"/>
  <c r="A330" i="3"/>
  <c r="B330" i="3"/>
  <c r="A331" i="3"/>
  <c r="B331" i="3"/>
  <c r="A332" i="3"/>
  <c r="B332" i="3"/>
  <c r="A333" i="3"/>
  <c r="B333" i="3"/>
  <c r="A334" i="3"/>
  <c r="B334" i="3"/>
  <c r="A335" i="3"/>
  <c r="B335" i="3"/>
  <c r="A336" i="3"/>
  <c r="B336" i="3"/>
  <c r="A338" i="3"/>
  <c r="B338" i="3"/>
  <c r="A337" i="3"/>
  <c r="B337" i="3"/>
  <c r="A339" i="3"/>
  <c r="B339" i="3"/>
  <c r="A340" i="3"/>
  <c r="B340" i="3"/>
  <c r="A344" i="3"/>
  <c r="B344" i="3"/>
  <c r="A341" i="3"/>
  <c r="B341" i="3"/>
  <c r="A347" i="3"/>
  <c r="B347" i="3"/>
  <c r="A342" i="3"/>
  <c r="B342" i="3"/>
  <c r="A343" i="3"/>
  <c r="B343" i="3"/>
  <c r="A345" i="3"/>
  <c r="B345" i="3"/>
  <c r="A346" i="3"/>
  <c r="B346" i="3"/>
  <c r="A348" i="3"/>
  <c r="B348" i="3"/>
  <c r="A349" i="3"/>
  <c r="B349" i="3"/>
  <c r="A350" i="3"/>
  <c r="B350" i="3"/>
  <c r="A351" i="3"/>
  <c r="B351" i="3"/>
  <c r="A352" i="3"/>
  <c r="B352" i="3"/>
  <c r="A353" i="3"/>
  <c r="B353" i="3"/>
  <c r="A355" i="3"/>
  <c r="B355" i="3"/>
  <c r="A354" i="3"/>
  <c r="B354" i="3"/>
  <c r="A362" i="3"/>
  <c r="B362" i="3"/>
  <c r="A361" i="3"/>
  <c r="B361" i="3"/>
  <c r="A359" i="3"/>
  <c r="B359" i="3"/>
  <c r="A363" i="3"/>
  <c r="B363" i="3"/>
  <c r="A360" i="3"/>
  <c r="B360" i="3"/>
  <c r="A368" i="3"/>
  <c r="B368" i="3"/>
  <c r="A372" i="3"/>
  <c r="B372" i="3"/>
  <c r="A364" i="3"/>
  <c r="B364" i="3"/>
  <c r="A365" i="3"/>
  <c r="B365" i="3"/>
  <c r="A371" i="3"/>
  <c r="B371" i="3"/>
  <c r="A366" i="3"/>
  <c r="B366" i="3"/>
  <c r="A369" i="3"/>
  <c r="B369" i="3"/>
  <c r="A370" i="3"/>
  <c r="B370" i="3"/>
  <c r="A374" i="3"/>
  <c r="B374" i="3"/>
  <c r="A375" i="3"/>
  <c r="B375" i="3"/>
  <c r="A378" i="3"/>
  <c r="B378" i="3"/>
  <c r="A383" i="3"/>
  <c r="B383" i="3"/>
  <c r="A382" i="3"/>
  <c r="B382" i="3"/>
  <c r="A376" i="3"/>
  <c r="B376" i="3"/>
  <c r="A379" i="3"/>
  <c r="B379" i="3"/>
  <c r="A377" i="3"/>
  <c r="B377" i="3"/>
  <c r="A380" i="3"/>
  <c r="B380" i="3"/>
  <c r="A381" i="3"/>
  <c r="B381" i="3"/>
  <c r="A384" i="3"/>
  <c r="B384" i="3"/>
  <c r="A385" i="3"/>
  <c r="B385" i="3"/>
  <c r="A386" i="3"/>
  <c r="B386" i="3"/>
  <c r="A391" i="3"/>
  <c r="B391" i="3"/>
  <c r="A396" i="3"/>
  <c r="B396" i="3"/>
  <c r="A392" i="3"/>
  <c r="B392" i="3"/>
  <c r="A393" i="3"/>
  <c r="B393" i="3"/>
  <c r="A394" i="3"/>
  <c r="B394" i="3"/>
  <c r="A395" i="3"/>
  <c r="B395" i="3"/>
  <c r="A397" i="3"/>
  <c r="B397" i="3"/>
  <c r="A399" i="3"/>
  <c r="B399" i="3"/>
  <c r="A398" i="3"/>
  <c r="B398" i="3"/>
  <c r="A400" i="3"/>
  <c r="B400" i="3"/>
  <c r="A401" i="3"/>
  <c r="B401" i="3"/>
  <c r="A409" i="3"/>
  <c r="B409" i="3"/>
  <c r="A425" i="3"/>
  <c r="B425" i="3"/>
  <c r="A426" i="3"/>
  <c r="B426" i="3"/>
  <c r="A429" i="3"/>
  <c r="B429" i="3"/>
  <c r="A428" i="3"/>
  <c r="B428" i="3"/>
  <c r="A431" i="3"/>
  <c r="B431" i="3"/>
  <c r="A430" i="3"/>
  <c r="B430" i="3"/>
  <c r="A432" i="3"/>
  <c r="B432" i="3"/>
  <c r="A433" i="3"/>
  <c r="B433" i="3"/>
  <c r="A434" i="3"/>
  <c r="B434" i="3"/>
  <c r="A441" i="3"/>
  <c r="B441" i="3"/>
  <c r="A442" i="3"/>
  <c r="B442" i="3"/>
  <c r="A436" i="3"/>
  <c r="B436" i="3"/>
  <c r="A424" i="3"/>
  <c r="B424" i="3"/>
  <c r="A423" i="3"/>
  <c r="B423" i="3"/>
  <c r="A420" i="3"/>
  <c r="B420" i="3"/>
  <c r="A414" i="3"/>
  <c r="B414" i="3"/>
  <c r="A408" i="3"/>
  <c r="B408" i="3"/>
  <c r="A406" i="3"/>
  <c r="B406" i="3"/>
  <c r="A404" i="3"/>
  <c r="B404" i="3"/>
  <c r="A403" i="3"/>
  <c r="B403" i="3"/>
  <c r="A405" i="3"/>
  <c r="B405" i="3"/>
  <c r="A402" i="3"/>
  <c r="B402" i="3"/>
  <c r="A390" i="3"/>
  <c r="B390" i="3"/>
  <c r="A387" i="3"/>
  <c r="B387" i="3"/>
  <c r="A389" i="3"/>
  <c r="B389" i="3"/>
  <c r="A388" i="3"/>
  <c r="B388" i="3"/>
  <c r="A367" i="3"/>
  <c r="B367" i="3"/>
  <c r="A373" i="3"/>
  <c r="B373" i="3"/>
  <c r="A358" i="3"/>
  <c r="B358" i="3"/>
  <c r="A356" i="3"/>
  <c r="B356" i="3"/>
  <c r="A357" i="3"/>
  <c r="B357" i="3"/>
  <c r="D92" i="13" l="1"/>
  <c r="G92" i="13"/>
  <c r="G93" i="13" s="1"/>
  <c r="G94" i="13" s="1"/>
  <c r="G95" i="13" s="1"/>
  <c r="G96" i="13" s="1"/>
  <c r="G97" i="13" s="1"/>
  <c r="G98" i="13" s="1"/>
  <c r="G99" i="13" s="1"/>
  <c r="G100" i="13" s="1"/>
  <c r="G101" i="13" s="1"/>
  <c r="G102" i="13" s="1"/>
  <c r="G103" i="13" s="1"/>
  <c r="G104" i="13" s="1"/>
  <c r="G105" i="13" s="1"/>
  <c r="G106" i="13" s="1"/>
  <c r="F106" i="13"/>
  <c r="F105" i="13"/>
  <c r="F104" i="13"/>
  <c r="F103" i="13"/>
  <c r="F102" i="13"/>
  <c r="F101" i="13"/>
  <c r="F100" i="13"/>
  <c r="F99" i="13"/>
  <c r="F98" i="13"/>
  <c r="F97" i="13"/>
  <c r="E96" i="13"/>
  <c r="F96" i="13" s="1"/>
  <c r="F95" i="13"/>
  <c r="F94" i="13"/>
  <c r="F93" i="13"/>
  <c r="F92" i="13"/>
  <c r="F91" i="13" l="1"/>
  <c r="F90" i="13"/>
  <c r="F89" i="13"/>
  <c r="F88" i="13"/>
  <c r="F87" i="13"/>
  <c r="F86" i="13"/>
  <c r="F85" i="13"/>
  <c r="F84" i="13"/>
  <c r="F83" i="13"/>
  <c r="F82" i="13"/>
  <c r="E81" i="13"/>
  <c r="F81" i="13" s="1"/>
  <c r="F80" i="13"/>
  <c r="F79" i="13"/>
  <c r="F78" i="13"/>
  <c r="G77" i="13"/>
  <c r="G78" i="13" s="1"/>
  <c r="G79" i="13" s="1"/>
  <c r="G80" i="13" s="1"/>
  <c r="G81" i="13" s="1"/>
  <c r="G82" i="13" s="1"/>
  <c r="G83" i="13" s="1"/>
  <c r="G84" i="13" s="1"/>
  <c r="G85" i="13" s="1"/>
  <c r="G86" i="13" s="1"/>
  <c r="G87" i="13" s="1"/>
  <c r="G88" i="13" s="1"/>
  <c r="G89" i="13" s="1"/>
  <c r="G90" i="13" s="1"/>
  <c r="G91" i="13" s="1"/>
  <c r="F77" i="13"/>
  <c r="E66" i="13" l="1"/>
  <c r="P2" i="6"/>
  <c r="G47" i="13" l="1"/>
  <c r="G48" i="13" s="1"/>
  <c r="G49" i="13" s="1"/>
  <c r="G50" i="13" s="1"/>
  <c r="E52" i="13"/>
  <c r="G51" i="13" l="1"/>
  <c r="G52" i="13" s="1"/>
  <c r="G53" i="13" s="1"/>
  <c r="G54" i="13" s="1"/>
  <c r="G55" i="13" s="1"/>
  <c r="G56" i="13" s="1"/>
  <c r="G57" i="13" s="1"/>
  <c r="G58" i="13" s="1"/>
  <c r="G59" i="13" s="1"/>
  <c r="G60" i="13" s="1"/>
  <c r="G61" i="13" s="1"/>
  <c r="E51" i="13"/>
  <c r="E36" i="13"/>
  <c r="F76" i="13" l="1"/>
  <c r="F75" i="13"/>
  <c r="F74" i="13"/>
  <c r="F73" i="13"/>
  <c r="F72" i="13"/>
  <c r="F71" i="13"/>
  <c r="F70" i="13"/>
  <c r="F69" i="13"/>
  <c r="F68" i="13"/>
  <c r="F67" i="13"/>
  <c r="F66" i="13"/>
  <c r="F65" i="13"/>
  <c r="F64" i="13"/>
  <c r="F63" i="13"/>
  <c r="G62" i="13"/>
  <c r="G63" i="13" s="1"/>
  <c r="G64" i="13" s="1"/>
  <c r="G65" i="13" s="1"/>
  <c r="G66" i="13" s="1"/>
  <c r="G67" i="13" s="1"/>
  <c r="G68" i="13" s="1"/>
  <c r="G69" i="13" s="1"/>
  <c r="G70" i="13" s="1"/>
  <c r="G71" i="13" s="1"/>
  <c r="G72" i="13" s="1"/>
  <c r="G73" i="13" s="1"/>
  <c r="G74" i="13" s="1"/>
  <c r="G75" i="13" s="1"/>
  <c r="G76" i="13" s="1"/>
  <c r="F62" i="13"/>
  <c r="F61" i="13" l="1"/>
  <c r="F60" i="13"/>
  <c r="F59" i="13"/>
  <c r="F58" i="13"/>
  <c r="F57" i="13"/>
  <c r="F56" i="13"/>
  <c r="F55" i="13"/>
  <c r="F54" i="13"/>
  <c r="F53" i="13"/>
  <c r="F52" i="13"/>
  <c r="F51" i="13"/>
  <c r="F50" i="13"/>
  <c r="F49" i="13"/>
  <c r="F48" i="13"/>
  <c r="F47" i="13"/>
  <c r="E10" i="31" l="1"/>
  <c r="D10" i="31" s="1"/>
  <c r="F46" i="13"/>
  <c r="F45" i="13"/>
  <c r="F44" i="13"/>
  <c r="F43" i="13"/>
  <c r="F42" i="13"/>
  <c r="F41" i="13"/>
  <c r="F40" i="13"/>
  <c r="F39" i="13"/>
  <c r="F38" i="13"/>
  <c r="F37" i="13"/>
  <c r="F36" i="13"/>
  <c r="F35" i="13"/>
  <c r="F34" i="13"/>
  <c r="F33" i="13"/>
  <c r="G32" i="13"/>
  <c r="G33" i="13" s="1"/>
  <c r="G34" i="13" s="1"/>
  <c r="G35" i="13" s="1"/>
  <c r="G36" i="13" s="1"/>
  <c r="G37" i="13" s="1"/>
  <c r="G38" i="13" s="1"/>
  <c r="G39" i="13" s="1"/>
  <c r="G40" i="13" s="1"/>
  <c r="G41" i="13" s="1"/>
  <c r="G42" i="13" s="1"/>
  <c r="G43" i="13" s="1"/>
  <c r="G44" i="13" s="1"/>
  <c r="G45" i="13" s="1"/>
  <c r="G46" i="13" s="1"/>
  <c r="F32" i="13"/>
  <c r="D22" i="6"/>
  <c r="AE28" i="32"/>
  <c r="AE29" i="32"/>
  <c r="AE30" i="32"/>
  <c r="AE31" i="32"/>
  <c r="AE32" i="32"/>
  <c r="AE33" i="32"/>
  <c r="AE34" i="32"/>
  <c r="AE35" i="32"/>
  <c r="AE36" i="32"/>
  <c r="AE37" i="32"/>
  <c r="AE38" i="32"/>
  <c r="AE39" i="32"/>
  <c r="AE40" i="32"/>
  <c r="AD28" i="32"/>
  <c r="AD29" i="32"/>
  <c r="AD30" i="32"/>
  <c r="AD31" i="32"/>
  <c r="AD32" i="32"/>
  <c r="AD33" i="32"/>
  <c r="AD34" i="32"/>
  <c r="AD35" i="32"/>
  <c r="AD36" i="32"/>
  <c r="AD37" i="32"/>
  <c r="AD38" i="32"/>
  <c r="AD39" i="32"/>
  <c r="AD40" i="32"/>
  <c r="AC28" i="32"/>
  <c r="AC29" i="32"/>
  <c r="AC30" i="32"/>
  <c r="AC31" i="32"/>
  <c r="AC32" i="32"/>
  <c r="AC33" i="32"/>
  <c r="AC34" i="32"/>
  <c r="AC35" i="32"/>
  <c r="AC36" i="32"/>
  <c r="AC37" i="32"/>
  <c r="AC38" i="32"/>
  <c r="AC39" i="32"/>
  <c r="AC40" i="32"/>
  <c r="AB28" i="32"/>
  <c r="AB29" i="32"/>
  <c r="AB30" i="32"/>
  <c r="AB31" i="32"/>
  <c r="AB32" i="32"/>
  <c r="AB33" i="32"/>
  <c r="AB34" i="32"/>
  <c r="AB35" i="32"/>
  <c r="AB36" i="32"/>
  <c r="AB37" i="32"/>
  <c r="AB38" i="32"/>
  <c r="AB39" i="32"/>
  <c r="AB40" i="32"/>
  <c r="AA28" i="32"/>
  <c r="AA29" i="32"/>
  <c r="AA30" i="32"/>
  <c r="AA31" i="32"/>
  <c r="AA32" i="32"/>
  <c r="AA33" i="32"/>
  <c r="AA34" i="32"/>
  <c r="AA35" i="32"/>
  <c r="AA36" i="32"/>
  <c r="AA37" i="32"/>
  <c r="AA38" i="32"/>
  <c r="AA39" i="32"/>
  <c r="AA40" i="32"/>
  <c r="Z28" i="32"/>
  <c r="Z29" i="32"/>
  <c r="Z30" i="32"/>
  <c r="Z31" i="32"/>
  <c r="Z32" i="32"/>
  <c r="Z33" i="32"/>
  <c r="Z34" i="32"/>
  <c r="Z35" i="32"/>
  <c r="Z36" i="32"/>
  <c r="Z37" i="32"/>
  <c r="Z38" i="32"/>
  <c r="Z39" i="32"/>
  <c r="Z40" i="32"/>
  <c r="Y28" i="32"/>
  <c r="Y29" i="32"/>
  <c r="Y30" i="32"/>
  <c r="Y31" i="32"/>
  <c r="Y32" i="32"/>
  <c r="Y33" i="32"/>
  <c r="Y34" i="32"/>
  <c r="Y35" i="32"/>
  <c r="Y36" i="32"/>
  <c r="Y37" i="32"/>
  <c r="Y38" i="32"/>
  <c r="Y39" i="32"/>
  <c r="Y40" i="32"/>
  <c r="X28" i="32"/>
  <c r="X29" i="32"/>
  <c r="X30" i="32"/>
  <c r="X31" i="32"/>
  <c r="X32" i="32"/>
  <c r="X33" i="32"/>
  <c r="X34" i="32"/>
  <c r="X35" i="32"/>
  <c r="X36" i="32"/>
  <c r="X37" i="32"/>
  <c r="X38" i="32"/>
  <c r="X39" i="32"/>
  <c r="X40" i="32"/>
  <c r="W28" i="32"/>
  <c r="W29" i="32"/>
  <c r="W30" i="32"/>
  <c r="W31" i="32"/>
  <c r="W32" i="32"/>
  <c r="W33" i="32"/>
  <c r="W34" i="32"/>
  <c r="W35" i="32"/>
  <c r="W36" i="32"/>
  <c r="W37" i="32"/>
  <c r="W38" i="32"/>
  <c r="W39" i="32"/>
  <c r="W40" i="32"/>
  <c r="V28" i="32"/>
  <c r="V29" i="32"/>
  <c r="V30" i="32"/>
  <c r="V31" i="32"/>
  <c r="V32" i="32"/>
  <c r="V33" i="32"/>
  <c r="V34" i="32"/>
  <c r="V35" i="32"/>
  <c r="V36" i="32"/>
  <c r="V37" i="32"/>
  <c r="V38" i="32"/>
  <c r="V39" i="32"/>
  <c r="V40" i="32"/>
  <c r="U28" i="32"/>
  <c r="U29" i="32"/>
  <c r="U30" i="32"/>
  <c r="U31" i="32"/>
  <c r="U32" i="32"/>
  <c r="U33" i="32"/>
  <c r="U34" i="32"/>
  <c r="U35" i="32"/>
  <c r="U36" i="32"/>
  <c r="U37" i="32"/>
  <c r="U38" i="32"/>
  <c r="U39" i="32"/>
  <c r="U40" i="32"/>
  <c r="U27" i="32"/>
  <c r="V27" i="32"/>
  <c r="W27" i="32"/>
  <c r="X27" i="32"/>
  <c r="Y27" i="32"/>
  <c r="Z27" i="32"/>
  <c r="AA27" i="32"/>
  <c r="AB27" i="32"/>
  <c r="AC27" i="32"/>
  <c r="AD27" i="32"/>
  <c r="AE27" i="32"/>
  <c r="T28" i="32"/>
  <c r="T29" i="32"/>
  <c r="T30" i="32"/>
  <c r="T31" i="32"/>
  <c r="T32" i="32"/>
  <c r="T33" i="32"/>
  <c r="T34" i="32"/>
  <c r="T35" i="32"/>
  <c r="T36" i="32"/>
  <c r="T37" i="32"/>
  <c r="T38" i="32"/>
  <c r="T39" i="32"/>
  <c r="T40" i="32"/>
  <c r="T27" i="32"/>
  <c r="M28" i="32"/>
  <c r="M29" i="32"/>
  <c r="M30" i="32"/>
  <c r="M31" i="32"/>
  <c r="M32" i="32"/>
  <c r="M33" i="32"/>
  <c r="M34" i="32"/>
  <c r="M35" i="32"/>
  <c r="M36" i="32"/>
  <c r="M37" i="32"/>
  <c r="M38" i="32"/>
  <c r="M39" i="32"/>
  <c r="M40" i="32"/>
  <c r="L28" i="32"/>
  <c r="L29" i="32"/>
  <c r="L30" i="32"/>
  <c r="L31" i="32"/>
  <c r="L32" i="32"/>
  <c r="L33" i="32"/>
  <c r="L34" i="32"/>
  <c r="L35" i="32"/>
  <c r="L36" i="32"/>
  <c r="L37" i="32"/>
  <c r="L38" i="32"/>
  <c r="L39" i="32"/>
  <c r="L40" i="32"/>
  <c r="K28" i="32"/>
  <c r="K29" i="32"/>
  <c r="K30" i="32"/>
  <c r="K31" i="32"/>
  <c r="K32" i="32"/>
  <c r="K33" i="32"/>
  <c r="K34" i="32"/>
  <c r="K35" i="32"/>
  <c r="K36" i="32"/>
  <c r="K37" i="32"/>
  <c r="K38" i="32"/>
  <c r="K39" i="32"/>
  <c r="K40" i="32"/>
  <c r="J28" i="32"/>
  <c r="J29" i="32"/>
  <c r="J30" i="32"/>
  <c r="J31" i="32"/>
  <c r="J32" i="32"/>
  <c r="J33" i="32"/>
  <c r="J34" i="32"/>
  <c r="J35" i="32"/>
  <c r="J36" i="32"/>
  <c r="J37" i="32"/>
  <c r="J38" i="32"/>
  <c r="J39" i="32"/>
  <c r="J40" i="32"/>
  <c r="I28" i="32"/>
  <c r="I29" i="32"/>
  <c r="I30" i="32"/>
  <c r="I31" i="32"/>
  <c r="I32" i="32"/>
  <c r="I33" i="32"/>
  <c r="I34" i="32"/>
  <c r="I35" i="32"/>
  <c r="I36" i="32"/>
  <c r="I37" i="32"/>
  <c r="I38" i="32"/>
  <c r="I39" i="32"/>
  <c r="I40" i="32"/>
  <c r="H28" i="32"/>
  <c r="H29" i="32"/>
  <c r="H30" i="32"/>
  <c r="H31" i="32"/>
  <c r="H32" i="32"/>
  <c r="H33" i="32"/>
  <c r="H34" i="32"/>
  <c r="H35" i="32"/>
  <c r="H36" i="32"/>
  <c r="H37" i="32"/>
  <c r="H38" i="32"/>
  <c r="H39" i="32"/>
  <c r="H40" i="32"/>
  <c r="G28" i="32"/>
  <c r="G29" i="32"/>
  <c r="G30" i="32"/>
  <c r="G31" i="32"/>
  <c r="G32" i="32"/>
  <c r="G33" i="32"/>
  <c r="G34" i="32"/>
  <c r="G35" i="32"/>
  <c r="G36" i="32"/>
  <c r="G37" i="32"/>
  <c r="G38" i="32"/>
  <c r="G39" i="32"/>
  <c r="G40" i="32"/>
  <c r="F28" i="32"/>
  <c r="F29" i="32"/>
  <c r="F30" i="32"/>
  <c r="F31" i="32"/>
  <c r="F32" i="32"/>
  <c r="F33" i="32"/>
  <c r="F34" i="32"/>
  <c r="F35" i="32"/>
  <c r="F36" i="32"/>
  <c r="F37" i="32"/>
  <c r="F38" i="32"/>
  <c r="F39" i="32"/>
  <c r="F40" i="32"/>
  <c r="E28" i="32"/>
  <c r="E29" i="32"/>
  <c r="E30" i="32"/>
  <c r="E31" i="32"/>
  <c r="E32" i="32"/>
  <c r="E33" i="32"/>
  <c r="E34" i="32"/>
  <c r="E35" i="32"/>
  <c r="E36" i="32"/>
  <c r="E37" i="32"/>
  <c r="E38" i="32"/>
  <c r="E39" i="32"/>
  <c r="E40" i="32"/>
  <c r="D28" i="32"/>
  <c r="D29" i="32"/>
  <c r="D30" i="32"/>
  <c r="D31" i="32"/>
  <c r="D32" i="32"/>
  <c r="D33" i="32"/>
  <c r="D34" i="32"/>
  <c r="D35" i="32"/>
  <c r="D36" i="32"/>
  <c r="D37" i="32"/>
  <c r="D38" i="32"/>
  <c r="D39" i="32"/>
  <c r="D40" i="32"/>
  <c r="C28" i="32"/>
  <c r="C29" i="32"/>
  <c r="C30" i="32"/>
  <c r="C31" i="32"/>
  <c r="C32" i="32"/>
  <c r="C33" i="32"/>
  <c r="C34" i="32"/>
  <c r="C35" i="32"/>
  <c r="C36" i="32"/>
  <c r="C37" i="32"/>
  <c r="C38" i="32"/>
  <c r="C39" i="32"/>
  <c r="C40" i="32"/>
  <c r="C27" i="32"/>
  <c r="D27" i="32"/>
  <c r="E27" i="32"/>
  <c r="F27" i="32"/>
  <c r="G27" i="32"/>
  <c r="H27" i="32"/>
  <c r="I27" i="32"/>
  <c r="J27" i="32"/>
  <c r="K27" i="32"/>
  <c r="L27" i="32"/>
  <c r="M27" i="32"/>
  <c r="B28" i="32"/>
  <c r="B29" i="32"/>
  <c r="B30" i="32"/>
  <c r="B31" i="32"/>
  <c r="B32" i="32"/>
  <c r="B33" i="32"/>
  <c r="B34" i="32"/>
  <c r="B35" i="32"/>
  <c r="B36" i="32"/>
  <c r="B37" i="32"/>
  <c r="B38" i="32"/>
  <c r="B39" i="32"/>
  <c r="B40" i="32"/>
  <c r="B27" i="32"/>
  <c r="F22" i="6"/>
  <c r="N27" i="32" l="1"/>
  <c r="O27" i="32" s="1"/>
  <c r="F10" i="31" l="1"/>
  <c r="G17" i="13"/>
  <c r="G18" i="13" s="1"/>
  <c r="G19" i="13" s="1"/>
  <c r="G20" i="13" s="1"/>
  <c r="G21" i="13" s="1"/>
  <c r="G22" i="13" s="1"/>
  <c r="G23" i="13" s="1"/>
  <c r="G24" i="13" s="1"/>
  <c r="G25" i="13" s="1"/>
  <c r="G26" i="13" s="1"/>
  <c r="G27" i="13" s="1"/>
  <c r="G28" i="13" s="1"/>
  <c r="G29" i="13" s="1"/>
  <c r="G30" i="13" s="1"/>
  <c r="G31" i="13" s="1"/>
  <c r="D3" i="31"/>
  <c r="D4" i="31"/>
  <c r="E4" i="31"/>
  <c r="D6" i="31"/>
  <c r="D7" i="31"/>
  <c r="D8" i="31"/>
  <c r="D9" i="31"/>
  <c r="D5" i="31"/>
  <c r="F5" i="31"/>
  <c r="F6" i="31"/>
  <c r="F7" i="31"/>
  <c r="F8" i="31"/>
  <c r="F9" i="31"/>
  <c r="F3" i="31"/>
  <c r="G2" i="13"/>
  <c r="G3" i="13" s="1"/>
  <c r="G4" i="13" s="1"/>
  <c r="G5" i="13" s="1"/>
  <c r="G6" i="13" s="1"/>
  <c r="G7" i="13" s="1"/>
  <c r="G8" i="13" s="1"/>
  <c r="G9" i="13" s="1"/>
  <c r="G10" i="13" s="1"/>
  <c r="G11" i="13" s="1"/>
  <c r="G12" i="13" s="1"/>
  <c r="G13" i="13" s="1"/>
  <c r="G14" i="13" s="1"/>
  <c r="G15" i="13" s="1"/>
  <c r="G16" i="13" s="1"/>
  <c r="F3" i="13"/>
  <c r="F2"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D18" i="6"/>
  <c r="D19" i="6"/>
  <c r="D20" i="6"/>
  <c r="D21" i="6"/>
  <c r="D23" i="6"/>
  <c r="D24" i="6"/>
  <c r="D25" i="6"/>
  <c r="D26" i="6"/>
  <c r="D27" i="6"/>
  <c r="D28" i="6"/>
  <c r="D29" i="6"/>
  <c r="D30" i="6"/>
  <c r="D31" i="6"/>
  <c r="D32" i="6"/>
  <c r="F21" i="6"/>
  <c r="F30" i="6"/>
  <c r="F20" i="6"/>
  <c r="F23" i="6"/>
  <c r="F31" i="6"/>
  <c r="F26" i="6"/>
  <c r="F19" i="6"/>
  <c r="F24" i="6"/>
  <c r="F32" i="6"/>
  <c r="F27" i="6"/>
  <c r="F29" i="6"/>
  <c r="F25" i="6"/>
  <c r="E28" i="6"/>
  <c r="F28" i="6"/>
  <c r="E21" i="6"/>
  <c r="E19" i="6"/>
  <c r="F18" i="6"/>
  <c r="E23" i="6"/>
  <c r="E27" i="6"/>
  <c r="E31" i="6"/>
  <c r="E20" i="6"/>
  <c r="E29" i="6"/>
  <c r="E22" i="6"/>
  <c r="E32" i="6"/>
  <c r="E24" i="6"/>
  <c r="E25" i="6"/>
  <c r="E30" i="6"/>
  <c r="D11" i="31" l="1"/>
  <c r="E18" i="6"/>
  <c r="E26" i="6"/>
  <c r="K2" i="6" l="1"/>
  <c r="L2" i="6" s="1"/>
  <c r="F4" i="31"/>
  <c r="F11" i="31" s="1"/>
  <c r="E11" i="31"/>
  <c r="I2" i="3"/>
  <c r="I3" i="3" s="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l="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tc={83D993FC-6C7A-424B-B43A-515FA469A8E9}</author>
    <author>tc={0FB2D435-8E36-47B9-BCE9-E18468A7E702}</author>
    <author>tc={59AA6DB9-FFB5-43A9-B4DF-0E7714DFB3C8}</author>
    <author>tc={0FBCD017-6B52-44E9-9B8E-33E19EA0E960}</author>
    <author>tc={8EB89FB8-7C94-4309-82E9-A15AEF53EE30}</author>
  </authors>
  <commentList>
    <comment ref="E36" authorId="0" shapeId="0" xr:uid="{83D993FC-6C7A-424B-B43A-515FA469A8E9}">
      <text>
        <t>[Threaded comment]
Your version of Excel allows you to read this threaded comment; however, any edits to it will get removed if the file is opened in a newer version of Excel. Learn more: https://go.microsoft.com/fwlink/?linkid=870924
Comment:
    65 (gas), 500 (Rav4 deposit)</t>
      </text>
    </comment>
    <comment ref="E51" authorId="1" shapeId="0" xr:uid="{0FB2D435-8E36-47B9-BCE9-E18468A7E702}">
      <text>
        <t>[Threaded comment]
Your version of Excel allows you to read this threaded comment; however, any edits to it will get removed if the file is opened in a newer version of Excel. Learn more: https://go.microsoft.com/fwlink/?linkid=870924
Comment:
    5000 (down payment) + 930 (insurance 6 months) +65 (gas)</t>
      </text>
    </comment>
    <comment ref="E66" authorId="2" shapeId="0" xr:uid="{59AA6DB9-FFB5-43A9-B4DF-0E7714DFB3C8}">
      <text>
        <t>[Threaded comment]
Your version of Excel allows you to read this threaded comment; however, any edits to it will get removed if the file is opened in a newer version of Excel. Learn more: https://go.microsoft.com/fwlink/?linkid=870924
Comment:
    =420 (car payment), 65 (gas)</t>
      </text>
    </comment>
    <comment ref="E81" authorId="3" shapeId="0" xr:uid="{0FBCD017-6B52-44E9-9B8E-33E19EA0E960}">
      <text>
        <t>[Threaded comment]
Your version of Excel allows you to read this threaded comment; however, any edits to it will get removed if the file is opened in a newer version of Excel. Learn more: https://go.microsoft.com/fwlink/?linkid=870924
Comment:
    =420 (car payment), 65 (gas)</t>
      </text>
    </comment>
    <comment ref="E96" authorId="4" shapeId="0" xr:uid="{8EB89FB8-7C94-4309-82E9-A15AEF53EE30}">
      <text>
        <t>[Threaded comment]
Your version of Excel allows you to read this threaded comment; however, any edits to it will get removed if the file is opened in a newer version of Excel. Learn more: https://go.microsoft.com/fwlink/?linkid=870924
Comment:
    =420 (car payment), 65 (gas)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tc={6E1CB9A5-1CFC-4697-8B8F-8E851AFC4078}</author>
    <author>tc={52B27E79-40CC-4D0C-BCF5-E544B82C9AFB}</author>
  </authors>
  <commentList>
    <comment ref="B6" authorId="0" shapeId="0" xr:uid="{6E1CB9A5-1CFC-4697-8B8F-8E851AFC4078}">
      <text>
        <t>[Threaded comment]
Your version of Excel allows you to read this threaded comment; however, any edits to it will get removed if the file is opened in a newer version of Excel. Learn more: https://go.microsoft.com/fwlink/?linkid=870924
Comment:
    Medicare Tax</t>
      </text>
    </comment>
    <comment ref="B7" authorId="1" shapeId="0" xr:uid="{52B27E79-40CC-4D0C-BCF5-E544B82C9AFB}">
      <text>
        <t>[Threaded comment]
Your version of Excel allows you to read this threaded comment; however, any edits to it will get removed if the file is opened in a newer version of Excel. Learn more: https://go.microsoft.com/fwlink/?linkid=870924
Comment:
    Social Security Tax</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3D9FB6-F642-4574-8F33-B1F76C7603F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5CC9FE3-699E-4C64-85A5-0ACE36DADB36}" name="WorksheetConnection_Khanh Monthly Budget.xlsx!Data" type="102" refreshedVersion="6" minRefreshableVersion="5">
    <extLst>
      <ext xmlns:x15="http://schemas.microsoft.com/office/spreadsheetml/2010/11/main" uri="{DE250136-89BD-433C-8126-D09CA5730AF9}">
        <x15:connection id="Data">
          <x15:rangePr sourceName="_xlcn.WorksheetConnection_KhanhMonthlyBudget.xlsxData1"/>
        </x15:connection>
      </ext>
    </extLst>
  </connection>
  <connection id="3" xr16:uid="{3C693C05-7FFE-4D12-89F9-F2E7C7CB1151}" name="WorksheetConnection_Khanh Monthly Budget.xlsx!First_List" type="102" refreshedVersion="6" minRefreshableVersion="5">
    <extLst>
      <ext xmlns:x15="http://schemas.microsoft.com/office/spreadsheetml/2010/11/main" uri="{DE250136-89BD-433C-8126-D09CA5730AF9}">
        <x15:connection id="First_List">
          <x15:rangePr sourceName="_xlcn.WorksheetConnection_KhanhMonthlyBudget.xlsxFirst_List1"/>
        </x15:connection>
      </ext>
    </extLst>
  </connection>
  <connection id="4" xr16:uid="{97720798-43B9-4C9A-91F5-83D76C2E54E2}" name="WorksheetConnection_Khanh Monthly Budget.xlsx!Month" type="102" refreshedVersion="6" minRefreshableVersion="5">
    <extLst>
      <ext xmlns:x15="http://schemas.microsoft.com/office/spreadsheetml/2010/11/main" uri="{DE250136-89BD-433C-8126-D09CA5730AF9}">
        <x15:connection id="Month">
          <x15:rangePr sourceName="_xlcn.WorksheetConnection_KhanhMonthlyBudget.xlsxMonth1"/>
        </x15:connection>
      </ext>
    </extLst>
  </connection>
  <connection id="5" xr16:uid="{B5F43456-BED5-431A-9CA5-81EA3EEE8205}" name="WorksheetConnection_Khanh Monthly Budget.xlsx!Plan.v.Actual" type="102" refreshedVersion="6" minRefreshableVersion="5" saveData="1">
    <extLst>
      <ext xmlns:x15="http://schemas.microsoft.com/office/spreadsheetml/2010/11/main" uri="{DE250136-89BD-433C-8126-D09CA5730AF9}">
        <x15:connection id="Plan v Actual" autoDelete="1">
          <x15:rangePr sourceName="_xlcn.WorksheetConnection_KhanhMonthlyBudget.xlsxPlan.v.Actual1"/>
        </x15:connection>
      </ext>
    </extLst>
  </connection>
  <connection id="6" xr16:uid="{2D8CDC97-81C9-4315-8527-CAA2423E8CCD}" name="WorksheetConnection_Khanh Monthly Budget.xlsx!Second_List" type="102" refreshedVersion="6" minRefreshableVersion="5">
    <extLst>
      <ext xmlns:x15="http://schemas.microsoft.com/office/spreadsheetml/2010/11/main" uri="{DE250136-89BD-433C-8126-D09CA5730AF9}">
        <x15:connection id="Second_List">
          <x15:rangePr sourceName="_xlcn.WorksheetConnection_KhanhMonthlyBudget.xlsxSecond_List1"/>
        </x15:connection>
      </ext>
    </extLst>
  </connection>
  <connection id="7" xr16:uid="{293EE294-D6A8-4E2A-94B9-883430C7FCD8}" name="WorksheetConnection_Khanh Monthly Budget.xlsx!Table24" type="102" refreshedVersion="6" minRefreshableVersion="5">
    <extLst>
      <ext xmlns:x15="http://schemas.microsoft.com/office/spreadsheetml/2010/11/main" uri="{DE250136-89BD-433C-8126-D09CA5730AF9}">
        <x15:connection id="Table24">
          <x15:rangePr sourceName="_xlcn.WorksheetConnection_KhanhMonthlyBudget.xlsxTable2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Year].[Year].&amp;[2021]}"/>
    <s v="{[Month].[Month].&amp;[Apr]}"/>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<sst xmlns="http://schemas.openxmlformats.org/spreadsheetml/2006/main" count="2652" uniqueCount="491">
  <si>
    <t>Mortgage or rent</t>
  </si>
  <si>
    <t>Phone</t>
  </si>
  <si>
    <t>Electricity</t>
  </si>
  <si>
    <t>Movies</t>
  </si>
  <si>
    <t>Gas</t>
  </si>
  <si>
    <t>Concerts</t>
  </si>
  <si>
    <t>Water and sewer</t>
  </si>
  <si>
    <t>Sporting events</t>
  </si>
  <si>
    <t>Cable</t>
  </si>
  <si>
    <t>Live theater</t>
  </si>
  <si>
    <t>Waste removal</t>
  </si>
  <si>
    <t>Other</t>
  </si>
  <si>
    <t>Maintenance or repairs</t>
  </si>
  <si>
    <t>Supplies</t>
  </si>
  <si>
    <t>Personal</t>
  </si>
  <si>
    <t>Vehicle payment</t>
  </si>
  <si>
    <t>Student</t>
  </si>
  <si>
    <t>Bus/taxi fare</t>
  </si>
  <si>
    <t>Insurance</t>
  </si>
  <si>
    <t>Fuel</t>
  </si>
  <si>
    <t>Maintenance</t>
  </si>
  <si>
    <t>Federal</t>
  </si>
  <si>
    <t>State</t>
  </si>
  <si>
    <t>Home</t>
  </si>
  <si>
    <t>Local</t>
  </si>
  <si>
    <t>Health</t>
  </si>
  <si>
    <t>Life</t>
  </si>
  <si>
    <t>Retirement account</t>
  </si>
  <si>
    <t>Investment account</t>
  </si>
  <si>
    <t>Groceries</t>
  </si>
  <si>
    <t>Dining out</t>
  </si>
  <si>
    <t>Food</t>
  </si>
  <si>
    <t>Medical</t>
  </si>
  <si>
    <t>Grooming</t>
  </si>
  <si>
    <t>Toys</t>
  </si>
  <si>
    <t>Attorney</t>
  </si>
  <si>
    <t>Alimony</t>
  </si>
  <si>
    <t>Payments on lien or judgment</t>
  </si>
  <si>
    <t>Hair/nails</t>
  </si>
  <si>
    <t>Clothing</t>
  </si>
  <si>
    <t>Dry cleaning</t>
  </si>
  <si>
    <t>Organization dues or fees</t>
  </si>
  <si>
    <t>Housing</t>
  </si>
  <si>
    <t>Entertainment</t>
  </si>
  <si>
    <t>Transportation</t>
  </si>
  <si>
    <t>Loans</t>
  </si>
  <si>
    <t>Taxes</t>
  </si>
  <si>
    <t>Pets</t>
  </si>
  <si>
    <t>Savings or Investments</t>
  </si>
  <si>
    <t>Gifts and Donations</t>
  </si>
  <si>
    <t>Legal</t>
  </si>
  <si>
    <t>Personal Care</t>
  </si>
  <si>
    <t>Rent</t>
  </si>
  <si>
    <t>Shopping</t>
  </si>
  <si>
    <t>Coinbase - BTC</t>
  </si>
  <si>
    <t>Drink</t>
  </si>
  <si>
    <t>Date</t>
  </si>
  <si>
    <t>Expenses</t>
  </si>
  <si>
    <t>Category</t>
  </si>
  <si>
    <t>Boba Island</t>
  </si>
  <si>
    <t>Taco Bell</t>
  </si>
  <si>
    <t>Courts Order - Name change certificate</t>
  </si>
  <si>
    <t>Downtown Parking</t>
  </si>
  <si>
    <t>Fedex Office</t>
  </si>
  <si>
    <t>Sushi Choo Choo</t>
  </si>
  <si>
    <t>Modern Tea</t>
  </si>
  <si>
    <t>Aldi</t>
  </si>
  <si>
    <t>Sub-Category</t>
  </si>
  <si>
    <t>McDonald's</t>
  </si>
  <si>
    <t>Parking</t>
  </si>
  <si>
    <t>Cryptocurrencies</t>
  </si>
  <si>
    <t>Ramen</t>
  </si>
  <si>
    <t>Friends party</t>
  </si>
  <si>
    <t>Pho Dien</t>
  </si>
  <si>
    <t>Gold</t>
  </si>
  <si>
    <t>Gold APMEX - 1 oz</t>
  </si>
  <si>
    <t>iPhone 12 Pro</t>
  </si>
  <si>
    <t>Technology</t>
  </si>
  <si>
    <t>Row Labels</t>
  </si>
  <si>
    <t>Grand Total</t>
  </si>
  <si>
    <t>Amazon</t>
  </si>
  <si>
    <t>Income</t>
  </si>
  <si>
    <t>Balance</t>
  </si>
  <si>
    <t>Honeywell paycheck</t>
  </si>
  <si>
    <t>2021</t>
  </si>
  <si>
    <t>Credit card 1</t>
  </si>
  <si>
    <t>Credit card 2</t>
  </si>
  <si>
    <t>Credit card 3</t>
  </si>
  <si>
    <t>Order</t>
  </si>
  <si>
    <t>First level drop down</t>
  </si>
  <si>
    <t>Second level drop down</t>
  </si>
  <si>
    <t>Chase Credit Crd Amazon</t>
  </si>
  <si>
    <t>Year</t>
  </si>
  <si>
    <t>Month</t>
  </si>
  <si>
    <t>Percent</t>
  </si>
  <si>
    <t>Handam BBQ</t>
  </si>
  <si>
    <t>Party nha Phuong</t>
  </si>
  <si>
    <t>Coinbase - ETH</t>
  </si>
  <si>
    <t>Chevron Gas</t>
  </si>
  <si>
    <t>Walmart</t>
  </si>
  <si>
    <t>Actual Income</t>
  </si>
  <si>
    <t>Plan Budget</t>
  </si>
  <si>
    <t>Sum of Plan Budget</t>
  </si>
  <si>
    <t>Apple Card Payment</t>
  </si>
  <si>
    <t>Robinhood Funds</t>
  </si>
  <si>
    <t>Actual YTD</t>
  </si>
  <si>
    <t>Plan v Actual Var. YTD</t>
  </si>
  <si>
    <t>Plan Income</t>
  </si>
  <si>
    <t>Sum of Actual Income</t>
  </si>
  <si>
    <t>Sum of Plan Income</t>
  </si>
  <si>
    <t>Feb</t>
  </si>
  <si>
    <t>Actual Full Year</t>
  </si>
  <si>
    <t>Plan v Actual Var. Full Year</t>
  </si>
  <si>
    <t>Obtain document</t>
  </si>
  <si>
    <t>Fidelity</t>
  </si>
  <si>
    <t>Jan</t>
  </si>
  <si>
    <t>Mar</t>
  </si>
  <si>
    <t>Apr</t>
  </si>
  <si>
    <t>May</t>
  </si>
  <si>
    <t>Jun</t>
  </si>
  <si>
    <t>Jul</t>
  </si>
  <si>
    <t>Aug</t>
  </si>
  <si>
    <t>Sep</t>
  </si>
  <si>
    <t>Oct</t>
  </si>
  <si>
    <t>Nov</t>
  </si>
  <si>
    <t>Dec</t>
  </si>
  <si>
    <t>% of Plan Budget</t>
  </si>
  <si>
    <t>Spotify</t>
  </si>
  <si>
    <t>Netflix</t>
  </si>
  <si>
    <t>Registration fee</t>
  </si>
  <si>
    <t>Saving Account</t>
  </si>
  <si>
    <t>My income breakdown</t>
  </si>
  <si>
    <t>Monthly</t>
  </si>
  <si>
    <t>401k</t>
  </si>
  <si>
    <t>Fed Withholding</t>
  </si>
  <si>
    <t>Fed MED/EE</t>
  </si>
  <si>
    <t>Fed OASDI/EE</t>
  </si>
  <si>
    <t>Dental</t>
  </si>
  <si>
    <t>Vision</t>
  </si>
  <si>
    <t>Before-Tax Deductions</t>
  </si>
  <si>
    <t>After-Tax Deductions</t>
  </si>
  <si>
    <t>Gross Salary</t>
  </si>
  <si>
    <t>Net Earning</t>
  </si>
  <si>
    <t>Gross Earning</t>
  </si>
  <si>
    <t>Type</t>
  </si>
  <si>
    <t>Item</t>
  </si>
  <si>
    <t>Bi-weekly</t>
  </si>
  <si>
    <t>Yearly</t>
  </si>
  <si>
    <t>Net Pay</t>
  </si>
  <si>
    <t>Multiplier</t>
  </si>
  <si>
    <t>Rate</t>
  </si>
  <si>
    <t>Rosary Dental</t>
  </si>
  <si>
    <t>Tea Top</t>
  </si>
  <si>
    <t>Chase Credit Crd Amazon (minus Mom's part)</t>
  </si>
  <si>
    <t>Family</t>
  </si>
  <si>
    <t>Friends</t>
  </si>
  <si>
    <t>Charity</t>
  </si>
  <si>
    <t>Tet Lixi for a Ny</t>
  </si>
  <si>
    <t>Actual</t>
  </si>
  <si>
    <t>Plan</t>
  </si>
  <si>
    <t>Yumcha</t>
  </si>
  <si>
    <t>Beautiful Life Hair Salon</t>
  </si>
  <si>
    <t>Star Snow Ice</t>
  </si>
  <si>
    <t>Piano lesson</t>
  </si>
  <si>
    <t>ExxonMobil</t>
  </si>
  <si>
    <t>Kungfu milktea</t>
  </si>
  <si>
    <t>TurboTax</t>
  </si>
  <si>
    <t>Service</t>
  </si>
  <si>
    <t>Venmo - Piano</t>
  </si>
  <si>
    <t>Cane's Chicken</t>
  </si>
  <si>
    <t>Circle K</t>
  </si>
  <si>
    <t>Feng Cha</t>
  </si>
  <si>
    <t>Coinbase</t>
  </si>
  <si>
    <t>Coinbase Profit</t>
  </si>
  <si>
    <t>Job</t>
  </si>
  <si>
    <t>Investment Profit</t>
  </si>
  <si>
    <t>Stimulus</t>
  </si>
  <si>
    <t>Go Far Awards</t>
  </si>
  <si>
    <t>Bank Profit</t>
  </si>
  <si>
    <t>ATM Withdraw - Tien cho ma Hai</t>
  </si>
  <si>
    <t>ATM Withdraw - Tien cho Vincent</t>
  </si>
  <si>
    <t>Lims Chicken</t>
  </si>
  <si>
    <t>Gongcha</t>
  </si>
  <si>
    <t>Raising Cane Chicken</t>
  </si>
  <si>
    <t>NTB - car tire and air&amp;fuel filter</t>
  </si>
  <si>
    <t>Toyota Rav4 Deposit</t>
  </si>
  <si>
    <t>Burger King</t>
  </si>
  <si>
    <t>Starbucks</t>
  </si>
  <si>
    <t>Personal Care Product</t>
  </si>
  <si>
    <t>Walmart - Vincent</t>
  </si>
  <si>
    <t>Zelle Nguyen Boba Island</t>
  </si>
  <si>
    <t>Chick Fil A</t>
  </si>
  <si>
    <t>Slick Willie Pool</t>
  </si>
  <si>
    <t>Lims Chicken Ramen</t>
  </si>
  <si>
    <t>Printing</t>
  </si>
  <si>
    <t>Pet Food</t>
  </si>
  <si>
    <t>Ebay Shipping</t>
  </si>
  <si>
    <t>Shipping</t>
  </si>
  <si>
    <t>Gyoku Japanese BBQ</t>
  </si>
  <si>
    <t>Piano lessons</t>
  </si>
  <si>
    <t>Coinbase Ethereum</t>
  </si>
  <si>
    <t>Texaco Chevron</t>
  </si>
  <si>
    <t>Paypal Progressive Insurance</t>
  </si>
  <si>
    <t>Car Down Payment</t>
  </si>
  <si>
    <t>Paypal Shoes Sold on Ebay</t>
  </si>
  <si>
    <t>Resale</t>
  </si>
  <si>
    <t>Apple Cash Back</t>
  </si>
  <si>
    <t>Canyon Lake</t>
  </si>
  <si>
    <t>Camping</t>
  </si>
  <si>
    <t>Popeyes</t>
  </si>
  <si>
    <t>Marshall shopping</t>
  </si>
  <si>
    <t>Lowe's</t>
  </si>
  <si>
    <t>Car Project</t>
  </si>
  <si>
    <t>Home Depot</t>
  </si>
  <si>
    <t>Lowe's Canyon Lake</t>
  </si>
  <si>
    <t>KFC</t>
  </si>
  <si>
    <t>Tea Holic</t>
  </si>
  <si>
    <t>Giau Bar</t>
  </si>
  <si>
    <t>Crawfish</t>
  </si>
  <si>
    <t>Toukei Ramen</t>
  </si>
  <si>
    <t>Agora</t>
  </si>
  <si>
    <t>Mint Mobile</t>
  </si>
  <si>
    <t>Intendo Game - Vincent</t>
  </si>
  <si>
    <t>Paypal Sales Fee</t>
  </si>
  <si>
    <t>Duc Chuong Bun Bo Hue</t>
  </si>
  <si>
    <t>Teahouse</t>
  </si>
  <si>
    <t>Hair Dye</t>
  </si>
  <si>
    <t>Coinbase - ETh</t>
  </si>
  <si>
    <t>Robinhood Profit Doge</t>
  </si>
  <si>
    <t>Resale Fee</t>
  </si>
  <si>
    <t>Mein Mothers Day</t>
  </si>
  <si>
    <t>Coinbase Ethereum profit</t>
  </si>
  <si>
    <t>AmMex High Yeild Saving</t>
  </si>
  <si>
    <t>2 Ledger for Khanh and Mom</t>
  </si>
  <si>
    <t>Coinbase ADA</t>
  </si>
  <si>
    <t>Crypto.com VET</t>
  </si>
  <si>
    <t>Crypto.com ETC</t>
  </si>
  <si>
    <t>Crypto.com DOT</t>
  </si>
  <si>
    <t>Crypto.com LINK</t>
  </si>
  <si>
    <t>Coinbase ETH</t>
  </si>
  <si>
    <t>Robinhood DOGE gain</t>
  </si>
  <si>
    <t>Crypto.com SHIB</t>
  </si>
  <si>
    <t>Toyota Rav4 Payment</t>
  </si>
  <si>
    <t>Crypto.com SHIB (lost)</t>
  </si>
  <si>
    <t>Coinbase LTC</t>
  </si>
  <si>
    <t>Coinbse BTC</t>
  </si>
  <si>
    <t>Fidelity Sold Coinbase (-128.46) and Nio (-138.35) (lost)</t>
  </si>
  <si>
    <t>Crypto.com ETC (lost)</t>
  </si>
  <si>
    <t>Pho con bo</t>
  </si>
  <si>
    <t>High Yeild Saving Account</t>
  </si>
  <si>
    <t>Stock gain Tyson Food</t>
  </si>
  <si>
    <t>Stock gain Intel</t>
  </si>
  <si>
    <t>Stock loss Lockheed Martin</t>
  </si>
  <si>
    <t>Sushi with Thanh</t>
  </si>
  <si>
    <t>Bellaire Optometry Eyes exam</t>
  </si>
  <si>
    <t>Crypto sell profit</t>
  </si>
  <si>
    <t>ATM cash withdraw</t>
  </si>
  <si>
    <t>Cash withdraw</t>
  </si>
  <si>
    <t>Western union - cho anh Ny</t>
  </si>
  <si>
    <t>Clothes</t>
  </si>
  <si>
    <t>Dakao Restaurant</t>
  </si>
  <si>
    <t>J Tea</t>
  </si>
  <si>
    <t>Magic Cup</t>
  </si>
  <si>
    <t>Ocean crawfish</t>
  </si>
  <si>
    <t>Shell Oil</t>
  </si>
  <si>
    <t>Actual income  vs spending</t>
  </si>
  <si>
    <t>Bambu Dessert</t>
  </si>
  <si>
    <t>Bath and Body Works</t>
  </si>
  <si>
    <t>Kroger</t>
  </si>
  <si>
    <t>Octopus pushie</t>
  </si>
  <si>
    <t>Lolli and pops</t>
  </si>
  <si>
    <t>Lee Sandwiches</t>
  </si>
  <si>
    <t>TeaFix</t>
  </si>
  <si>
    <t>Tan Tan</t>
  </si>
  <si>
    <t>One Hot Pot and Grill</t>
  </si>
  <si>
    <t>Intel Dividends</t>
  </si>
  <si>
    <t>Toyota Rav 4 Payment</t>
  </si>
  <si>
    <t>Saving</t>
  </si>
  <si>
    <t>Long Coffee</t>
  </si>
  <si>
    <t>Nguyen tra tien nuoc</t>
  </si>
  <si>
    <t>Sold Ethereum</t>
  </si>
  <si>
    <t>Me tra tien Amazon</t>
  </si>
  <si>
    <t>Baby shared for Baby the Cat $30 medical care</t>
  </si>
  <si>
    <t>Baby's medical care</t>
  </si>
  <si>
    <t>Violaion Fee</t>
  </si>
  <si>
    <t>Card</t>
  </si>
  <si>
    <t>Chase Sapphire</t>
  </si>
  <si>
    <t>Seattle Trip - hotel</t>
  </si>
  <si>
    <t>Travel</t>
  </si>
  <si>
    <t>Kura</t>
  </si>
  <si>
    <t>Bun Bo Hue Tay Do</t>
  </si>
  <si>
    <t>TeaHolic</t>
  </si>
  <si>
    <t>Baby's Louie Vaccine</t>
  </si>
  <si>
    <t>Shell OIl</t>
  </si>
  <si>
    <t>Seattle Trip - car rental</t>
  </si>
  <si>
    <t>Shabu (birthday Kim)</t>
  </si>
  <si>
    <t>Hanh tra Shabu (birthday Kim)</t>
  </si>
  <si>
    <t>Murgler Alien perfume for Baby</t>
  </si>
  <si>
    <t>my love</t>
  </si>
  <si>
    <t>Marshall return</t>
  </si>
  <si>
    <t>Teafix</t>
  </si>
  <si>
    <t>Tram Teahouse</t>
  </si>
  <si>
    <t>Forever 21</t>
  </si>
  <si>
    <t>Kim's Cosmetics</t>
  </si>
  <si>
    <t>Seattle Trip - car parking</t>
  </si>
  <si>
    <t>American Eagle</t>
  </si>
  <si>
    <t>Shabu zone with baby</t>
  </si>
  <si>
    <t>Susuhi 9</t>
  </si>
  <si>
    <t>Pho Duy Noodle House</t>
  </si>
  <si>
    <t>Seattle Trip - 5 point café</t>
  </si>
  <si>
    <t>Seattle Trip - O-cha Thai Renton</t>
  </si>
  <si>
    <t>Seattle Trip - Meekong bar restaurant</t>
  </si>
  <si>
    <t>MCDONALD'S F2708</t>
  </si>
  <si>
    <t>T H SALON 168</t>
  </si>
  <si>
    <t>EXXONMOBIL    48053474</t>
  </si>
  <si>
    <t>KURA REVOLVING SUSHI BAR</t>
  </si>
  <si>
    <t>RAISING CANE'S #346</t>
  </si>
  <si>
    <t>J TEA</t>
  </si>
  <si>
    <t>TBMBM</t>
  </si>
  <si>
    <t>H-E-B #724</t>
  </si>
  <si>
    <t>OCEAN CRAWFISH</t>
  </si>
  <si>
    <t>MARSHALLS #0585</t>
  </si>
  <si>
    <t>Phanh Ky Hu Tieu Mi My Th</t>
  </si>
  <si>
    <t>Amazon.com*295K96VG2</t>
  </si>
  <si>
    <t>STMNT CRDT GROCERY PURCHS</t>
  </si>
  <si>
    <t>WAL-MART #3302</t>
  </si>
  <si>
    <t>PETCO 2441    63524417</t>
  </si>
  <si>
    <t>85C BAKERY CAFE USA</t>
  </si>
  <si>
    <t>ROSARY DENTAL</t>
  </si>
  <si>
    <t>MARSHALLS #0608</t>
  </si>
  <si>
    <t>LONG COFFEE - HOUSTON</t>
  </si>
  <si>
    <t>TONY THAI RESTAURANT</t>
  </si>
  <si>
    <t>DOUBLETREE SEATTLE AIRPOR</t>
  </si>
  <si>
    <t>MEEKONG BAR</t>
  </si>
  <si>
    <t>SPACE NEEDLE TICKETS</t>
  </si>
  <si>
    <t>SHELL OIL 57444029904</t>
  </si>
  <si>
    <t>5 POINT CAFE</t>
  </si>
  <si>
    <t>O-CHA THAI RENTON</t>
  </si>
  <si>
    <t>Phanh Ky Asian Noodle Hou</t>
  </si>
  <si>
    <t>WALGREENS #10926</t>
  </si>
  <si>
    <t>HOTEL MAX</t>
  </si>
  <si>
    <t>FORTUNE STAR CHINESE REST</t>
  </si>
  <si>
    <t>IAHCS-NORTH BRIDGE CIBO</t>
  </si>
  <si>
    <t>SQ *BOBALUST TEA HOUSE</t>
  </si>
  <si>
    <t>76 - BACKDHU INC</t>
  </si>
  <si>
    <t>CHEVRON 0203582</t>
  </si>
  <si>
    <t>RAINIER RESTAURANT AND</t>
  </si>
  <si>
    <t>WAL-MART #5939</t>
  </si>
  <si>
    <t>TEXACO 0306976</t>
  </si>
  <si>
    <t>WF Checking</t>
  </si>
  <si>
    <t>JPMorgan Chase Ext Trnsfr 210730 12073858804 CAM NHUNG T PHAM</t>
  </si>
  <si>
    <t>HONEYWELL INTERN PAYROLL 210725 6776090H NGUYEN,KHANH D</t>
  </si>
  <si>
    <t>Coinbase.com RY6ZR89H RY6ZR89H471a DUYEN KHANH T NGUYEN</t>
  </si>
  <si>
    <t>Coinbase.com HPBJWYKM HPBJWYKM471a DUYEN KHANH T NGUYEN</t>
  </si>
  <si>
    <t>PURCHASE AUTHORIZED ON 07/19 COSTCO GAS #1146 SUGAR LAND TX P00381201044471235 CARD 1700</t>
  </si>
  <si>
    <t>PURCHASE AUTHORIZED ON 07/18 7 LEAVES HOUSTON 2 HOUSTON TX S461199680759631 CARD 1700</t>
  </si>
  <si>
    <t>HONEYWELL INTERN PAYROLL 210711 6776090H NGUYEN,KHANH D</t>
  </si>
  <si>
    <t>Coinbase.com XR3ASK7V XR3ASK7V471a DUYEN KHANH T NGUYEN</t>
  </si>
  <si>
    <t>PURCHASE AUTHORIZED ON 07/11 J TEA Houston TX S581192706406318 CARD 1700</t>
  </si>
  <si>
    <t>PURCHASE AUTHORIZED ON 07/12 H MART - HOUSTON II HOUSTON TX P00301193600552751 CARD 1700</t>
  </si>
  <si>
    <t>PURCHASE AUTHORIZED ON 07/12 H MART - HOUSTON II HOUSTON TX P00461193599671889 CARD 1700</t>
  </si>
  <si>
    <t>PURCHASE AUTHORIZED ON 07/10 WAL-MART #3302 HOUSTON TX P00000000979528118 CARD 1700</t>
  </si>
  <si>
    <t>SAFE BOX ANNUAL FEE TX-FIB00056-00848</t>
  </si>
  <si>
    <t>FID BKG SVC LLC MONEYLINE 210708 2373226231F112W KHANH T NGUYEN</t>
  </si>
  <si>
    <t>Coinbase.com 7SDQ8FY6 7SDQ8FY6471a DUYEN KHANH T NGUYEN</t>
  </si>
  <si>
    <t>AMERICANEXPRESS TRANSFER 000320015883368 NGUYEN,KHANH</t>
  </si>
  <si>
    <t>BUSINESS TO BUSINESS ACH TOYOTA ACH RTL 07052021 XVIS2LO9GLKFN1D P00106973-26269</t>
  </si>
  <si>
    <t>HONEYWELL INTERN PAYROLL 210627 6776090H NGUYEN,KHANH D</t>
  </si>
  <si>
    <t>JPMorgan Chase Ext Trnsfr 210701 11858276061 CAM NHUNG T PHAM</t>
  </si>
  <si>
    <t>APPLECARD GSBANK PAYMENT 063021 2552657 Khanh Nguyen</t>
  </si>
  <si>
    <t>ZELLE TO LE TRUCMAI ON 06/30 REF #PP0BTB22TK SPEEDING TICKET DISMISS FOR KHANH NGUYEN</t>
  </si>
  <si>
    <t>job</t>
  </si>
  <si>
    <t>Safebox fee</t>
  </si>
  <si>
    <t>by Apple Card</t>
  </si>
  <si>
    <t>TST* MAGIC CUP - HOUSTON HOUSTON TX</t>
  </si>
  <si>
    <t>DAKAO RESTAURANT AND B HOUSTON TX</t>
  </si>
  <si>
    <t>J TEA HOUSTON TX</t>
  </si>
  <si>
    <t>KOKEE TEA 00-08035580011 SUGAR LAND TX</t>
  </si>
  <si>
    <t>MCDONALD'S F2708 00000000HOUSTON TX</t>
  </si>
  <si>
    <t>HONG KONG FOOD MARKET #4 HOUSTON TX</t>
  </si>
  <si>
    <t>EXXONMOBIL 4805 HOUSTON TX</t>
  </si>
  <si>
    <t>WHATABURGER 1019 HOUSTON TX</t>
  </si>
  <si>
    <t>HOUSTON BIKE SHARE HOUSTON TX</t>
  </si>
  <si>
    <t>CITY W BISTRO 3187 HOUSTON TX</t>
  </si>
  <si>
    <t>CHEVRON 0352441/CHEVRON HOUSTON TX</t>
  </si>
  <si>
    <t>HANDAM BBQ 14500000744388HOUSTON TX</t>
  </si>
  <si>
    <t>Biking</t>
  </si>
  <si>
    <t>WF Propel</t>
  </si>
  <si>
    <t>Teeth</t>
  </si>
  <si>
    <t>Actual Expense</t>
  </si>
  <si>
    <t>H MART - HOUSTON II</t>
  </si>
  <si>
    <t>CIRCLE K #2741464</t>
  </si>
  <si>
    <t>BWW 3339 SUGAR LAND TX</t>
  </si>
  <si>
    <t>WM SUPERCENTER #3509</t>
  </si>
  <si>
    <t>WAL-MART #3509</t>
  </si>
  <si>
    <t>DAC HUNG BBQ</t>
  </si>
  <si>
    <t>SMILEDIRECTCLUB</t>
  </si>
  <si>
    <t>DAKAO RESTAURANT AND BAR</t>
  </si>
  <si>
    <t>HOA MAP HU TIEU GO</t>
  </si>
  <si>
    <t>TEXACO 0306976/CHEVRON HOUSTON TX</t>
  </si>
  <si>
    <t>OTSUKA RAMEN BAR 0001 DEER PARK TX</t>
  </si>
  <si>
    <t>BURGER KING #3815 0000 HOUSTON TX</t>
  </si>
  <si>
    <t>CIRCLE K # 03310/CIRCLE KHOUSTON TX</t>
  </si>
  <si>
    <t>PHO CENTRAL 0000 DEER PARK TX</t>
  </si>
  <si>
    <t>GREAT WALL SUPERMARKET - HOUSTON TX</t>
  </si>
  <si>
    <t>CIRCLE K #2741464 0000000RICHMOND TX</t>
  </si>
  <si>
    <t>ALDI 78010 00000000004341SUGAR LAND TX</t>
  </si>
  <si>
    <t>TEAFIX 0000 HOUSTON TX</t>
  </si>
  <si>
    <t>WAL-MART NEIGHBORHOOD MARHOUSTON TX</t>
  </si>
  <si>
    <t>SHABU SHABU ZONE HOUSTON TX</t>
  </si>
  <si>
    <t>CHEVRON 0202327/CHEVRON MISSOURI CITYTX</t>
  </si>
  <si>
    <t>BOBA ISLAND 0000 HOUSTON TX</t>
  </si>
  <si>
    <t>POSTAL PLUS COPY CENTE RICHMOND TX</t>
  </si>
  <si>
    <t>BUNNY STOP #3 PASADENA TX</t>
  </si>
  <si>
    <t>CIRCLE K #2742533 0000000PASADENA TX</t>
  </si>
  <si>
    <t>MCDONALD'S F31855 0000000HOUSTON TX</t>
  </si>
  <si>
    <t>SWEET MEMES DESSERT &amp; HOUSTON TX</t>
  </si>
  <si>
    <t>USA*VEND AT AIR SERV RICHMOND TX</t>
  </si>
  <si>
    <t>CHEVRON 0357735/CHEVRON NEW WAVERLY TX</t>
  </si>
  <si>
    <t>WAL-MART SUPERCENTER 3296HOUSTON TX</t>
  </si>
  <si>
    <t>SHELL OIL 12567205005 HOUSTON TX</t>
  </si>
  <si>
    <t>H MART - HOUSTON II 1724 HOUSTON TX</t>
  </si>
  <si>
    <t>PHO DIEN HOUSTON TX</t>
  </si>
  <si>
    <t>MMS-MHHS-SOUTHEAST HSP 54HOUSTON TX</t>
  </si>
  <si>
    <t>Coinbase.com 7C3G886S 7C3G886S471a DUYEN KHANH T NGUYEN</t>
  </si>
  <si>
    <t>JPMorgan Chase Ext Trnsfr 210901 12266592015 CAM NHUNG T PHAM</t>
  </si>
  <si>
    <t>ZELLE FROM THUTRANG NGUYEN ON 08/31 REF # BACI0AFLABQJ GAS</t>
  </si>
  <si>
    <t>UBER USA 6787 EDI PAYMNT AUG 30 KINIT9KQWRMA7CD REF*TN*KINIT9KQWR\</t>
  </si>
  <si>
    <t>DoorDash, Inc. DoorDash, ST-D7Y4D3J2G4P3 KHANH NGUYEN</t>
  </si>
  <si>
    <t>Coinbase.com 5YWBYD9S 5YWBYD9S471a DUYEN KHANH T NGUYEN</t>
  </si>
  <si>
    <t>Coinbase.com FWQLYSG3 FWQLYSG3471a DUYEN KHANH T NGUYEN</t>
  </si>
  <si>
    <t>PURCHASE AUTHORIZED ON 08/26 THE TEAHOUSE SUGAR LAND TX S381239049938099 CARD 1700</t>
  </si>
  <si>
    <t>PURCHASE AUTHORIZED ON 08/25 MCDONALD'S F2708 HOUSTON TX S461237410594538 CARD 1700</t>
  </si>
  <si>
    <t>HONEYWELL INTERN PAYROLL 210822 6776090H NGUYEN,KHANH D</t>
  </si>
  <si>
    <t>PURCHASE AUTHORIZED ON 08/26 VIET STREET HOUSTON TX P00000000031409539 CARD 1700</t>
  </si>
  <si>
    <t>PURCHASE AUTHORIZED ON 08/26 HONG KONG FOOD HOUSTON TX P00000000171105356 CARD 1700</t>
  </si>
  <si>
    <t>PURCHASE AUTHORIZED ON 08/26 CHO THANH BINH HOUSTON TX P00581238587023334 CARD 1700</t>
  </si>
  <si>
    <t>PURCHASE AUTHORIZED ON 08/25 PHO VI VI PASADENA TX S301237642278745 CARD 1700</t>
  </si>
  <si>
    <t>PAYPAL INST XFER 210825 GETAWAYHOUS KHANH NGUYEN</t>
  </si>
  <si>
    <t>PURCHASE AUTHORIZED ON 08/25 Wal-Mart Super Center SUGAR LAND TX P00000000080878120 CARD 1700</t>
  </si>
  <si>
    <t>PURCHASE AUTHORIZED ON 08/25 WAL-MART #4466 SUGAR LAND TX P00000000384716248 CARD 1700</t>
  </si>
  <si>
    <t>ZELLE FROM NGUYEN NGUYEN ON 08/25 REF # PP0C882YD8</t>
  </si>
  <si>
    <t>ZELLE FROM THUTRANG NGUYEN ON 08/24 REF # BACVOPGDXO1S GAS</t>
  </si>
  <si>
    <t>UBER USA 6787 EDI PAYMNT AUG 23 2IR27SR05W66T0J REF*TN*2IR27SR05W\</t>
  </si>
  <si>
    <t>DoorDash, Inc. DoorDash, ST-V3N6L5C2A2S5 KHANH NGUYEN</t>
  </si>
  <si>
    <t>Coinbase.com JXLVJGWC JXLVJGWC471a DUYEN KHANH T NGUYEN</t>
  </si>
  <si>
    <t>Coinbase.com 29U7P2HW 29U7P2HW471a DUYEN KHANH T NGUYEN</t>
  </si>
  <si>
    <t>Coinbase.com JALUZ5TA JALUZ5TA471a DUYEN KHANH T NGUYEN</t>
  </si>
  <si>
    <t>ZELLE TO THAO NGUYEN ON 08/17 REF #PP0C6RFRKW BUFFALO WING</t>
  </si>
  <si>
    <t>ZELLE FROM NGUYEN NGUYEN ON 08/17 REF # PP0C6LL7MR</t>
  </si>
  <si>
    <t>UBER USA 6787 EDI PAYMNT AUG 16 B9PS4YAD96KOUXM REF*TN*B9PS4YAD96\</t>
  </si>
  <si>
    <t>Coinbase.com NKBQJP2E NKBQJP2E471a DUYEN KHANH T NGUYEN</t>
  </si>
  <si>
    <t>Coinbase.com UMRJMR34 UMRJMR34471a DUYEN KHANH T NGUYEN</t>
  </si>
  <si>
    <t>APPLECARD GSBANK PAYMENT 081321 2552657 Khanh Nguyen</t>
  </si>
  <si>
    <t>ZELLE TO BABY ON 08/16 REF #RP0C6HHJNZ FOR BABYS TUITION</t>
  </si>
  <si>
    <t>PURCHASE AUTHORIZED ON 08/14 TX STATE PKS FIELD EGOV.COM TX S461226676300392 CARD 1700</t>
  </si>
  <si>
    <t>PURCHASE RETURN AUTHORIZED ON 08/14 TX STATE PKS FIELD AUSTIN TX S621227121154165 CARD 1700</t>
  </si>
  <si>
    <t>HONEYWELL INTERN PAYROLL 210808 6776090H NGUYEN,KHANH D</t>
  </si>
  <si>
    <t>PURCHASE AUTHORIZED ON 08/12 COSTCO WHSE #1146 SUGAR LAND TX P00581224852533727 CARD 1700</t>
  </si>
  <si>
    <t>ZELLE TO BABY ON 08/12 REF #RP0C5HM29Q INVESTMENT FOR BABY</t>
  </si>
  <si>
    <t>ZELLE FROM NGUYEN NGUYEN ON 08/12 REF # PP0C5MBRHL</t>
  </si>
  <si>
    <t>Apple Cash TRANSFER Khanh Nguyen Khanh Nguyen</t>
  </si>
  <si>
    <t>Coinbase.com YGJCYVTP YGJCYVTP471a DUYEN KHANH T NGUYEN</t>
  </si>
  <si>
    <t>Coinbase.com B67YLV8L B67YLV8L471a DUYEN KHANH T NGUYEN</t>
  </si>
  <si>
    <t>FID BKG SVC LLC MONEYLINE 210809 2373226231GWHEX KHANH T NGUYEN</t>
  </si>
  <si>
    <t>BUSINESS TO BUSINESS ACH TOYOTA ACH RTL 08062021 XWPL4N2XAIHFK8G P00846818-26269</t>
  </si>
  <si>
    <t>Coinbase.com RERFZNA2 RERFZNA2471a DUYEN KHANH T NGUYEN</t>
  </si>
  <si>
    <t>ZELLE FROM NGUYEN NGUYEN ON 08/04 REF # PP0C3XCK6J</t>
  </si>
  <si>
    <t>WESTERN UNION FI TRANSFER 210803 121184358867394 KHANH NGUYEN</t>
  </si>
  <si>
    <t>APPLECARD GSBANK PAYMENT 073121 2552657 Khanh Nguyen</t>
  </si>
  <si>
    <t>ZELLE FROM NGUYEN NGUYEN ON 08/02 REF # PP0C3J9373</t>
  </si>
  <si>
    <t>Food Delivery Job</t>
  </si>
  <si>
    <t>Bank Investigation</t>
  </si>
  <si>
    <t>SHABU SHABU ZONE</t>
  </si>
  <si>
    <t>TEX DEPT LICEN N REG</t>
  </si>
  <si>
    <t>WAL-MART #3296</t>
  </si>
  <si>
    <t>365 Market D 888 432-3299</t>
  </si>
  <si>
    <t>WHATABURGER 432    Q26</t>
  </si>
  <si>
    <t>EXXONMOBIL    48132914</t>
  </si>
  <si>
    <t>TOP SUSHI - RICHMOND</t>
  </si>
  <si>
    <t>CHAO LONG THANG MO</t>
  </si>
  <si>
    <t>BOBA ISLAND</t>
  </si>
  <si>
    <t>PHO DIEN</t>
  </si>
  <si>
    <t>Khanh's Monthly Budget</t>
  </si>
  <si>
    <t>Expense</t>
  </si>
  <si>
    <t>Budget</t>
  </si>
  <si>
    <t>(blank)</t>
  </si>
  <si>
    <t>Sum of Actual Expense</t>
  </si>
  <si>
    <t>Saving/Investment</t>
  </si>
  <si>
    <t>Sum of Saving/Investment</t>
  </si>
  <si>
    <t>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</si>
</sst>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_(&quot;$&quot;* \(#,##0\);_(&quot;$&quot;* &quot;-&quot;_);_(@_)"/>
    <numFmt numFmtId="41" formatCode="_(* #,##0_);_(* \(#,##0\);_(* &quot;-&quot;_);_(@_)"/>
    <numFmt numFmtId="44" formatCode="_(&quot;$&quot;* #,##0.00_);_(&quot;$&quot;* \(#,##0.00\);_(&quot;$&quot;* &quot;-&quot;??_);_(@_)"/>
    <numFmt numFmtId="164" formatCode="[&lt;=9999999]###\-####;\(###\)\ ###\-####"/>
    <numFmt numFmtId="165" formatCode="[$-409]mmm\-yy;@"/>
    <numFmt numFmtId="166" formatCode="_(&quot;$&quot;* #,##0_);_(&quot;$&quot;* \(#,##0\);_(&quot;$&quot;* &quot;-&quot;??_);_(@_)"/>
    <numFmt numFmtId="167" formatCode="0.0%"/>
    <numFmt numFmtId="168" formatCode="&quot;$&quot;#,##0"/>
  </numFmts>
  <fonts count="19" x14ac:knownFonts="1">
    <font>
      <sz val="10"/>
      <color theme="1" tint="0.2499465926084170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0"/>
      <color theme="1" tint="0.24994659260841701"/>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
      <b/>
      <sz val="10"/>
      <color rgb="FF0070C0"/>
      <name val="Calibri"/>
      <family val="2"/>
      <scheme val="minor"/>
    </font>
    <font>
      <sz val="22"/>
      <color theme="0"/>
      <name val="Calibri"/>
      <family val="2"/>
      <scheme val="major"/>
    </font>
    <font>
      <b/>
      <sz val="12"/>
      <color theme="1" tint="0.24994659260841701"/>
      <name val="Calibri"/>
      <family val="2"/>
      <scheme val="major"/>
    </font>
    <font>
      <sz val="8"/>
      <name val="Calibri"/>
      <family val="2"/>
      <scheme val="minor"/>
    </font>
    <font>
      <b/>
      <sz val="11"/>
      <name val="Calibri"/>
      <family val="2"/>
      <scheme val="minor"/>
    </font>
    <font>
      <b/>
      <sz val="10"/>
      <color theme="1" tint="0.24994659260841701"/>
      <name val="Calibri"/>
      <family val="2"/>
      <scheme val="minor"/>
    </font>
    <font>
      <sz val="16"/>
      <color theme="0"/>
      <name val="Calibri"/>
      <family val="2"/>
      <scheme val="major"/>
    </font>
    <font>
      <b/>
      <sz val="14"/>
      <color theme="1" tint="0.24994659260841701"/>
      <name val="Calibri"/>
      <family val="2"/>
      <scheme val="major"/>
    </font>
    <font>
      <b/>
      <sz val="14"/>
      <color theme="1" tint="0.24994659260841701"/>
      <name val="Calibri"/>
      <family val="2"/>
      <scheme val="minor"/>
    </font>
    <font>
      <b/>
      <sz val="14"/>
      <color theme="0"/>
      <name val="Calibri"/>
      <family val="2"/>
      <scheme val="maj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bgColor indexed="64"/>
      </patternFill>
    </fill>
  </fills>
  <borders count="33">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7"/>
      </left>
      <right style="thin">
        <color theme="7"/>
      </right>
      <top style="thin">
        <color theme="7"/>
      </top>
      <bottom style="medium">
        <color theme="7"/>
      </bottom>
      <diagonal/>
    </border>
    <border>
      <left/>
      <right/>
      <top style="thin">
        <color theme="4"/>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medium">
        <color theme="4"/>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style="thin">
        <color theme="4"/>
      </right>
      <top style="medium">
        <color theme="4"/>
      </top>
      <bottom style="double">
        <color theme="4"/>
      </bottom>
      <diagonal/>
    </border>
    <border>
      <left style="thin">
        <color theme="4"/>
      </left>
      <right style="thin">
        <color theme="4"/>
      </right>
      <top style="medium">
        <color theme="4"/>
      </top>
      <bottom style="double">
        <color theme="4"/>
      </bottom>
      <diagonal/>
    </border>
    <border>
      <left style="thin">
        <color theme="4"/>
      </left>
      <right style="medium">
        <color theme="4"/>
      </right>
      <top style="medium">
        <color theme="4"/>
      </top>
      <bottom style="double">
        <color theme="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s>
  <cellStyleXfs count="8">
    <xf numFmtId="0" fontId="0" fillId="0" borderId="0"/>
    <xf numFmtId="0" fontId="3" fillId="0" borderId="1" applyNumberFormat="0" applyFill="0" applyAlignment="0" applyProtection="0"/>
    <xf numFmtId="0" fontId="1" fillId="0" borderId="2" applyNumberFormat="0" applyFill="0" applyBorder="0" applyAlignment="0" applyProtection="0"/>
    <xf numFmtId="0" fontId="2" fillId="0" borderId="3" applyNumberFormat="0" applyFill="0" applyBorder="0" applyAlignment="0" applyProtection="0"/>
    <xf numFmtId="164" fontId="4" fillId="0" borderId="0" applyFont="0" applyFill="0" applyBorder="0" applyAlignment="0" applyProtection="0"/>
    <xf numFmtId="14" fontId="4"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81">
    <xf numFmtId="0" fontId="0" fillId="0" borderId="0" xfId="0"/>
    <xf numFmtId="44" fontId="0" fillId="0" borderId="0" xfId="6" applyFont="1"/>
    <xf numFmtId="44" fontId="0" fillId="0" borderId="0" xfId="0" applyNumberFormat="1"/>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6" fillId="0" borderId="4" xfId="0" applyFont="1" applyBorder="1"/>
    <xf numFmtId="0" fontId="9" fillId="0" borderId="0" xfId="0" applyFont="1"/>
    <xf numFmtId="0" fontId="7" fillId="0" borderId="5" xfId="0" applyFont="1" applyBorder="1"/>
    <xf numFmtId="0" fontId="8" fillId="2" borderId="0" xfId="0" applyFont="1" applyFill="1" applyBorder="1"/>
    <xf numFmtId="165" fontId="8" fillId="2" borderId="0" xfId="0" applyNumberFormat="1" applyFont="1" applyFill="1" applyBorder="1"/>
    <xf numFmtId="0" fontId="7" fillId="0" borderId="0" xfId="0" applyFont="1" applyBorder="1"/>
    <xf numFmtId="0" fontId="7" fillId="0" borderId="5" xfId="0" applyFont="1" applyFill="1" applyBorder="1"/>
    <xf numFmtId="0" fontId="8" fillId="2" borderId="0" xfId="0" applyFont="1" applyFill="1"/>
    <xf numFmtId="0" fontId="11" fillId="0" borderId="6" xfId="3" applyFont="1" applyBorder="1"/>
    <xf numFmtId="0" fontId="11" fillId="0" borderId="4" xfId="3" applyFont="1" applyBorder="1"/>
    <xf numFmtId="166" fontId="0" fillId="0" borderId="0" xfId="6" applyNumberFormat="1" applyFont="1"/>
    <xf numFmtId="0" fontId="7" fillId="0" borderId="7" xfId="0" applyFont="1" applyBorder="1"/>
    <xf numFmtId="0" fontId="11" fillId="0" borderId="0" xfId="3" applyFont="1" applyBorder="1"/>
    <xf numFmtId="0" fontId="11" fillId="0" borderId="4" xfId="0" applyFont="1" applyBorder="1"/>
    <xf numFmtId="44" fontId="13" fillId="0" borderId="0" xfId="0" applyNumberFormat="1" applyFont="1" applyBorder="1"/>
    <xf numFmtId="167" fontId="0" fillId="0" borderId="0" xfId="7" applyNumberFormat="1" applyFont="1"/>
    <xf numFmtId="0" fontId="0" fillId="0" borderId="0" xfId="0" applyBorder="1"/>
    <xf numFmtId="0" fontId="13" fillId="0" borderId="17" xfId="0" applyFont="1" applyBorder="1"/>
    <xf numFmtId="0" fontId="13" fillId="0" borderId="19" xfId="0" applyFont="1" applyBorder="1"/>
    <xf numFmtId="0" fontId="13" fillId="0" borderId="21" xfId="0" applyFont="1" applyBorder="1"/>
    <xf numFmtId="0" fontId="15" fillId="5" borderId="0" xfId="1" applyFont="1" applyFill="1" applyBorder="1" applyAlignment="1"/>
    <xf numFmtId="168" fontId="0" fillId="0" borderId="0" xfId="0" applyNumberFormat="1"/>
    <xf numFmtId="0" fontId="6" fillId="0" borderId="20" xfId="0" applyFont="1" applyBorder="1"/>
    <xf numFmtId="0" fontId="7" fillId="3" borderId="7" xfId="0" applyFont="1" applyFill="1" applyBorder="1"/>
    <xf numFmtId="42" fontId="0" fillId="0" borderId="0" xfId="0" applyNumberFormat="1"/>
    <xf numFmtId="166" fontId="15" fillId="5" borderId="0" xfId="1" applyNumberFormat="1" applyFont="1" applyFill="1" applyBorder="1"/>
    <xf numFmtId="166" fontId="15" fillId="5" borderId="0" xfId="6" applyNumberFormat="1" applyFont="1" applyFill="1" applyBorder="1"/>
    <xf numFmtId="166" fontId="13" fillId="0" borderId="22" xfId="6" applyNumberFormat="1" applyFont="1" applyBorder="1"/>
    <xf numFmtId="166" fontId="13" fillId="0" borderId="7" xfId="6" applyNumberFormat="1" applyFont="1" applyBorder="1"/>
    <xf numFmtId="166" fontId="13" fillId="0" borderId="20" xfId="6" applyNumberFormat="1" applyFont="1" applyBorder="1"/>
    <xf numFmtId="166" fontId="13" fillId="0" borderId="23" xfId="0" applyNumberFormat="1" applyFont="1" applyBorder="1"/>
    <xf numFmtId="166" fontId="13" fillId="0" borderId="18" xfId="0" applyNumberFormat="1" applyFont="1" applyBorder="1"/>
    <xf numFmtId="0" fontId="16" fillId="4" borderId="24" xfId="3" applyFont="1" applyFill="1" applyBorder="1" applyAlignment="1">
      <alignment horizontal="center"/>
    </xf>
    <xf numFmtId="0" fontId="16" fillId="4" borderId="25" xfId="3" applyFont="1" applyFill="1" applyBorder="1" applyAlignment="1">
      <alignment horizontal="center"/>
    </xf>
    <xf numFmtId="0" fontId="16" fillId="4" borderId="26" xfId="3" applyFont="1" applyFill="1" applyBorder="1" applyAlignment="1">
      <alignment horizontal="center"/>
    </xf>
    <xf numFmtId="0" fontId="0" fillId="0" borderId="9" xfId="0" applyBorder="1"/>
    <xf numFmtId="0" fontId="0" fillId="0" borderId="8" xfId="0" applyBorder="1"/>
    <xf numFmtId="44" fontId="0" fillId="0" borderId="8" xfId="6" applyFont="1" applyBorder="1"/>
    <xf numFmtId="44" fontId="0" fillId="0" borderId="10" xfId="6" applyFont="1" applyBorder="1"/>
    <xf numFmtId="0" fontId="0" fillId="0" borderId="11" xfId="0" applyBorder="1"/>
    <xf numFmtId="0" fontId="0" fillId="0" borderId="12" xfId="0" applyBorder="1"/>
    <xf numFmtId="44" fontId="0" fillId="0" borderId="12" xfId="6" applyFont="1" applyBorder="1"/>
    <xf numFmtId="44" fontId="0" fillId="0" borderId="13" xfId="6" applyFont="1" applyBorder="1"/>
    <xf numFmtId="0" fontId="0" fillId="0" borderId="27" xfId="0" applyBorder="1"/>
    <xf numFmtId="0" fontId="0" fillId="0" borderId="28" xfId="0" applyBorder="1"/>
    <xf numFmtId="44" fontId="0" fillId="0" borderId="28" xfId="6" applyFont="1" applyBorder="1"/>
    <xf numFmtId="44" fontId="0" fillId="0" borderId="29" xfId="6" applyFont="1" applyBorder="1"/>
    <xf numFmtId="0" fontId="14" fillId="0" borderId="30" xfId="0" applyFont="1" applyBorder="1"/>
    <xf numFmtId="0" fontId="14" fillId="0" borderId="31" xfId="0" applyFont="1" applyFill="1" applyBorder="1"/>
    <xf numFmtId="0" fontId="0" fillId="0" borderId="31" xfId="0" applyBorder="1"/>
    <xf numFmtId="44" fontId="14" fillId="0" borderId="31" xfId="6" applyFont="1" applyBorder="1"/>
    <xf numFmtId="44" fontId="14" fillId="0" borderId="32" xfId="6" applyFont="1" applyBorder="1"/>
    <xf numFmtId="0" fontId="14" fillId="0" borderId="14" xfId="0" applyFont="1" applyBorder="1"/>
    <xf numFmtId="0" fontId="14" fillId="0" borderId="15" xfId="0" applyFont="1" applyBorder="1"/>
    <xf numFmtId="0" fontId="14" fillId="0" borderId="15" xfId="0" applyFont="1" applyFill="1" applyBorder="1"/>
    <xf numFmtId="0" fontId="14" fillId="0" borderId="16" xfId="0" applyFont="1" applyFill="1" applyBorder="1"/>
    <xf numFmtId="9" fontId="0" fillId="0" borderId="0" xfId="7" applyFont="1"/>
    <xf numFmtId="9" fontId="0" fillId="0" borderId="0" xfId="0" applyNumberFormat="1"/>
    <xf numFmtId="2" fontId="0" fillId="0" borderId="0" xfId="0" applyNumberFormat="1"/>
    <xf numFmtId="166" fontId="0" fillId="0" borderId="0" xfId="0" applyNumberFormat="1" applyBorder="1"/>
    <xf numFmtId="41" fontId="0" fillId="0" borderId="0" xfId="0" applyNumberFormat="1"/>
    <xf numFmtId="0" fontId="0" fillId="0" borderId="0" xfId="0" applyNumberFormat="1" applyFill="1"/>
    <xf numFmtId="14" fontId="0" fillId="0" borderId="0" xfId="0" applyNumberFormat="1" applyFill="1"/>
    <xf numFmtId="0" fontId="0" fillId="0" borderId="0" xfId="0" applyFill="1"/>
    <xf numFmtId="44" fontId="0" fillId="0" borderId="0" xfId="6" applyFont="1" applyFill="1"/>
    <xf numFmtId="166" fontId="0" fillId="0" borderId="0" xfId="0" applyNumberFormat="1"/>
    <xf numFmtId="0" fontId="10" fillId="5" borderId="0" xfId="1" applyFont="1" applyFill="1" applyBorder="1" applyAlignment="1">
      <alignment horizontal="left" vertical="center"/>
    </xf>
    <xf numFmtId="0" fontId="17" fillId="0" borderId="0" xfId="0" applyFont="1" applyBorder="1" applyAlignment="1">
      <alignment horizontal="center"/>
    </xf>
    <xf numFmtId="9" fontId="15" fillId="5" borderId="0" xfId="7" applyFont="1" applyFill="1" applyBorder="1" applyAlignment="1"/>
    <xf numFmtId="44" fontId="18" fillId="5" borderId="0" xfId="6" applyFont="1" applyFill="1" applyBorder="1" applyAlignment="1">
      <alignment horizontal="center" vertical="center"/>
    </xf>
    <xf numFmtId="44" fontId="18" fillId="5" borderId="0" xfId="6" applyFont="1" applyFill="1" applyBorder="1" applyAlignment="1">
      <alignment horizontal="center"/>
    </xf>
    <xf numFmtId="44" fontId="18" fillId="5" borderId="0" xfId="6" applyFont="1" applyFill="1" applyBorder="1" applyAlignment="1">
      <alignment horizontal="center"/>
    </xf>
    <xf numFmtId="0" fontId="0" fillId="5" borderId="0" xfId="0" applyFont="1" applyFill="1" applyBorder="1"/>
  </cellXfs>
  <cellStyles count="8">
    <cellStyle name="Currency" xfId="6" builtinId="4"/>
    <cellStyle name="Date" xfId="5" xr:uid="{FE33F3B2-B201-45AD-A81E-81BCB12ED9D2}"/>
    <cellStyle name="Heading 1" xfId="1" builtinId="16" customBuiltin="1"/>
    <cellStyle name="Heading 2" xfId="2" builtinId="17" customBuiltin="1"/>
    <cellStyle name="Heading 3" xfId="3" builtinId="18" customBuiltin="1"/>
    <cellStyle name="Normal" xfId="0" builtinId="0" customBuiltin="1"/>
    <cellStyle name="Percent" xfId="7" builtinId="5"/>
    <cellStyle name="Phone" xfId="4" xr:uid="{70E46558-98AC-446F-861A-54F270CBD905}"/>
  </cellStyles>
  <dxfs count="410">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font>
        <color theme="0"/>
      </font>
    </dxf>
    <dxf>
      <font>
        <color theme="0"/>
      </font>
    </dxf>
    <dxf>
      <font>
        <color theme="0"/>
      </font>
    </dxf>
    <dxf>
      <font>
        <color theme="0"/>
      </font>
    </dxf>
    <dxf>
      <font>
        <color theme="0"/>
      </font>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color rgb="FFFFC000"/>
      </font>
      <fill>
        <patternFill>
          <bgColor theme="4"/>
        </patternFill>
      </fill>
    </dxf>
    <dxf>
      <font>
        <color rgb="FF00B050"/>
      </font>
      <fill>
        <patternFill patternType="solid">
          <bgColor theme="4"/>
        </patternFill>
      </fill>
    </dxf>
    <dxf>
      <font>
        <color rgb="FFFFC000"/>
      </font>
      <fill>
        <patternFill>
          <bgColor theme="4"/>
        </patternFill>
      </fill>
    </dxf>
    <dxf>
      <font>
        <color rgb="FF00B050"/>
      </font>
      <fill>
        <patternFill patternType="solid">
          <bgColor theme="4"/>
        </patternFill>
      </fill>
    </dxf>
    <dxf>
      <font>
        <color theme="0"/>
      </font>
    </dxf>
    <dxf>
      <font>
        <color rgb="FFFFC000"/>
      </font>
      <fill>
        <patternFill>
          <bgColor theme="4"/>
        </patternFill>
      </fill>
    </dxf>
    <dxf>
      <font>
        <color rgb="FF00B050"/>
      </font>
      <fill>
        <patternFill patternType="solid">
          <bgColor theme="4"/>
        </patternFill>
      </fill>
    </dxf>
    <dxf>
      <font>
        <color rgb="FFFFC000"/>
      </font>
      <fill>
        <patternFill>
          <bgColor theme="4"/>
        </patternFill>
      </fill>
    </dxf>
    <dxf>
      <font>
        <color rgb="FF00B050"/>
      </font>
      <fill>
        <patternFill patternType="solid">
          <bgColor theme="4"/>
        </patternFill>
      </fill>
    </dxf>
    <dxf>
      <font>
        <color theme="0"/>
      </font>
    </dxf>
    <dxf>
      <numFmt numFmtId="32" formatCode="_(&quot;$&quot;* #,##0_);_(&quot;$&quot;* \(#,##0\);_(&quot;$&quot;* &quot;-&quot;_);_(@_)"/>
    </dxf>
    <dxf>
      <numFmt numFmtId="33" formatCode="_(* #,##0_);_(* \(#,##0\);_(* &quot;-&quot;_);_(@_)"/>
    </dxf>
    <dxf>
      <font>
        <b val="0"/>
        <i val="0"/>
        <strike val="0"/>
        <condense val="0"/>
        <extend val="0"/>
        <outline val="0"/>
        <shadow val="0"/>
        <u val="none"/>
        <vertAlign val="baseline"/>
        <sz val="10"/>
        <color theme="1" tint="0.24994659260841701"/>
        <name val="Calibri"/>
        <family val="2"/>
        <scheme val="minor"/>
      </font>
    </dxf>
    <dxf>
      <numFmt numFmtId="168" formatCode="&quot;$&quot;#,##0"/>
    </dxf>
    <dxf>
      <numFmt numFmtId="32" formatCode="_(&quot;$&quot;* #,##0_);_(&quot;$&quot;* \(#,##0\);_(&quot;$&quot;* &quot;-&quot;_);_(@_)"/>
    </dxf>
    <dxf>
      <numFmt numFmtId="33" formatCode="_(* #,##0_);_(* \(#,##0\);_(*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0"/>
        <color theme="1"/>
        <name val="Calibri"/>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theme="4"/>
          <bgColor theme="4"/>
        </patternFill>
      </fill>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0"/>
        <color theme="1"/>
        <name val="Calibri"/>
        <family val="2"/>
        <scheme val="minor"/>
      </font>
    </dxf>
    <dxf>
      <numFmt numFmtId="13" formatCode="0%"/>
    </dxf>
    <dxf>
      <numFmt numFmtId="32" formatCode="_(&quot;$&quot;* #,##0_);_(&quot;$&quot;* \(#,##0\);_(&quot;$&quot;* &quot;-&quot;_);_(@_)"/>
    </dxf>
    <dxf>
      <numFmt numFmtId="34" formatCode="_(&quot;$&quot;* #,##0.00_);_(&quot;$&quot;* \(#,##0.00\);_(&quot;$&quot;* &quot;-&quot;??_);_(@_)"/>
    </dxf>
    <dxf>
      <numFmt numFmtId="168" formatCode="&quot;$&quot;#,##0"/>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0" formatCode="General"/>
    </dxf>
    <dxf>
      <numFmt numFmtId="0" formatCode="General"/>
    </dxf>
    <dxf>
      <font>
        <b/>
        <i val="0"/>
        <strike val="0"/>
        <condense val="0"/>
        <extend val="0"/>
        <outline val="0"/>
        <shadow val="0"/>
        <u val="none"/>
        <vertAlign val="baseline"/>
        <sz val="12"/>
        <color theme="1" tint="0.24994659260841701"/>
        <name val="Calibri"/>
        <family val="2"/>
        <scheme val="major"/>
      </font>
    </dxf>
    <dxf>
      <font>
        <b val="0"/>
        <i val="0"/>
        <strike val="0"/>
        <condense val="0"/>
        <extend val="0"/>
        <outline val="0"/>
        <shadow val="0"/>
        <u val="none"/>
        <vertAlign val="baseline"/>
        <sz val="10"/>
        <color theme="1" tint="0.24994659260841701"/>
        <name val="Calibri"/>
        <family val="2"/>
        <scheme val="minor"/>
      </font>
    </dxf>
    <dxf>
      <numFmt numFmtId="19" formatCode="m/d/yyyy"/>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3" defaultTableStyle="TableStyleMedium2" defaultPivotStyle="PivotStyleLight16">
    <tableStyle name="Address Book" pivot="0" count="5" xr9:uid="{00000000-0011-0000-FFFF-FFFF00000000}">
      <tableStyleElement type="wholeTable" dxfId="409"/>
      <tableStyleElement type="headerRow" dxfId="408"/>
      <tableStyleElement type="totalRow" dxfId="407"/>
      <tableStyleElement type="firstRowStripe" dxfId="406"/>
      <tableStyleElement type="secondRowStripe" dxfId="405"/>
    </tableStyle>
    <tableStyle name="Personal monthly budget" pivot="0" count="7" xr9:uid="{DF2684C2-C435-47FA-9646-E632C3AE8948}">
      <tableStyleElement type="wholeTable" dxfId="404"/>
      <tableStyleElement type="headerRow" dxfId="403"/>
      <tableStyleElement type="totalRow" dxfId="402"/>
      <tableStyleElement type="firstColumn" dxfId="401"/>
      <tableStyleElement type="lastColumn" dxfId="400"/>
      <tableStyleElement type="firstRowStripe" dxfId="399"/>
      <tableStyleElement type="firstColumnStripe" dxfId="398"/>
    </tableStyle>
    <tableStyle name="Timeline Style 1" pivot="0" table="0" count="8" xr9:uid="{9AE4F987-9DBB-4055-8F77-10E2DAD8557C}">
      <tableStyleElement type="wholeTable" dxfId="397"/>
      <tableStyleElement type="headerRow" dxfId="396"/>
    </tableStyle>
  </tableStyles>
  <colors>
    <mruColors>
      <color rgb="FFDE0000"/>
      <color rgb="FFFE9186"/>
      <color rgb="FFFF4343"/>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customXml" Target="../customXml/item1.xml"/><Relationship Id="rId21" Type="http://schemas.openxmlformats.org/officeDocument/2006/relationships/pivotCacheDefinition" Target="pivotCache/pivotCacheDefinition6.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3.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5.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1.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4.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Budget.xlsx]Actual Piechart!ActualPivot</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Actual Expense</a:t>
            </a:r>
          </a:p>
        </c:rich>
      </c:tx>
      <c:layout>
        <c:manualLayout>
          <c:xMode val="edge"/>
          <c:yMode val="edge"/>
          <c:x val="4.1237113402061857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1"/>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showLegendKey val="0"/>
          <c:showVal val="0"/>
          <c:showCatName val="1"/>
          <c:showSerName val="0"/>
          <c:showPercent val="1"/>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dLbl>
          <c:idx val="0"/>
          <c:showLegendKey val="0"/>
          <c:showVal val="0"/>
          <c:showCatName val="1"/>
          <c:showSerName val="0"/>
          <c:showPercent val="1"/>
          <c:showBubbleSize val="0"/>
          <c:extLst>
            <c:ext xmlns:c15="http://schemas.microsoft.com/office/drawing/2012/chart" uri="{CE6537A1-D6FC-4f65-9D91-7224C49458BB}"/>
          </c:extLst>
        </c:dLbl>
      </c:pivotFmt>
      <c:pivotFmt>
        <c:idx val="51"/>
        <c:dLbl>
          <c:idx val="0"/>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52"/>
        <c:dLbl>
          <c:idx val="0"/>
          <c:layout>
            <c:manualLayout>
              <c:x val="-2.2053423254828574E-2"/>
              <c:y val="-0.16805214071561214"/>
            </c:manualLayout>
          </c:layout>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53"/>
      </c:pivotFmt>
      <c:pivotFmt>
        <c:idx val="54"/>
        <c:dLbl>
          <c:idx val="0"/>
          <c:layout>
            <c:manualLayout>
              <c:x val="-1.4931745492073347E-2"/>
              <c:y val="2.972778106294025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5"/>
      </c:pivotFmt>
      <c:pivotFmt>
        <c:idx val="56"/>
        <c:dLbl>
          <c:idx val="0"/>
          <c:layout>
            <c:manualLayout>
              <c:x val="-0.22620163738607951"/>
              <c:y val="1.482213438735177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7"/>
        <c:dLbl>
          <c:idx val="0"/>
          <c:layout>
            <c:manualLayout>
              <c:x val="-0.11657710487755714"/>
              <c:y val="1.482213438735177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754028638434862"/>
                  <c:h val="0.23109079843545879"/>
                </c:manualLayout>
              </c15:layout>
            </c:ext>
          </c:extLst>
        </c:dLbl>
      </c:pivotFmt>
      <c:pivotFmt>
        <c:idx val="6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8111567656387249"/>
                  <c:h val="0.19502927423619612"/>
                </c:manualLayout>
              </c15:layout>
            </c:ext>
          </c:extLst>
        </c:dLbl>
      </c:pivotFmt>
      <c:pivotFmt>
        <c:idx val="6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4"/>
        <c:spPr>
          <a:solidFill>
            <a:schemeClr val="accent1"/>
          </a:solidFill>
          <a:ln w="19050">
            <a:solidFill>
              <a:schemeClr val="lt1"/>
            </a:solidFill>
          </a:ln>
          <a:effectLst/>
        </c:spPr>
        <c:dLbl>
          <c:idx val="0"/>
          <c:layout>
            <c:manualLayout>
              <c:x val="0.16190515380987952"/>
              <c:y val="-0.16704920898827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6"/>
        <c:spPr>
          <a:solidFill>
            <a:schemeClr val="accent1"/>
          </a:solidFill>
          <a:ln w="19050">
            <a:solidFill>
              <a:schemeClr val="lt1"/>
            </a:solidFill>
          </a:ln>
          <a:effectLst/>
        </c:spPr>
        <c:dLbl>
          <c:idx val="0"/>
          <c:layout>
            <c:manualLayout>
              <c:x val="2.4025648420054193E-2"/>
              <c:y val="-0.15257449496466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344623930140508"/>
                  <c:h val="0.25511557679858277"/>
                </c:manualLayout>
              </c15:layout>
            </c:ext>
          </c:extLst>
        </c:dLbl>
      </c:pivotFmt>
      <c:pivotFmt>
        <c:idx val="68"/>
        <c:spPr>
          <a:solidFill>
            <a:schemeClr val="accent1"/>
          </a:solidFill>
          <a:ln w="19050">
            <a:solidFill>
              <a:schemeClr val="lt1"/>
            </a:solidFill>
          </a:ln>
          <a:effectLst/>
        </c:spPr>
        <c:dLbl>
          <c:idx val="0"/>
          <c:layout>
            <c:manualLayout>
              <c:x val="0.39616866603857537"/>
              <c:y val="-8.8615951413959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2.3305744527189736E-2"/>
              <c:y val="-8.3344081201405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dLbl>
          <c:idx val="0"/>
          <c:layout>
            <c:manualLayout>
              <c:x val="-2.6469267612084301E-2"/>
              <c:y val="-8.7794622468969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59775639377003"/>
                  <c:h val="0.17701069400764208"/>
                </c:manualLayout>
              </c15:layout>
            </c:ext>
          </c:extLst>
        </c:dLbl>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dLbl>
          <c:idx val="0"/>
          <c:layout>
            <c:manualLayout>
              <c:x val="-0.12643680831018367"/>
              <c:y val="-0.2313862747507529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1758059178311643"/>
          <c:y val="0.31648928124498021"/>
          <c:w val="0.45373107917308436"/>
          <c:h val="0.57248416143259306"/>
        </c:manualLayout>
      </c:layout>
      <c:pieChart>
        <c:varyColors val="1"/>
        <c:ser>
          <c:idx val="0"/>
          <c:order val="0"/>
          <c:tx>
            <c:strRef>
              <c:f>'Actual Piechart'!$B$4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'Actual Piechart'!$A$5:$A$13</c:f>
              <c:strCache>
                <c:ptCount val="8"/>
                <c:pt idx="0">
                  <c:v>Housing</c:v>
                </c:pt>
                <c:pt idx="1">
                  <c:v>Savings or Investments</c:v>
                </c:pt>
                <c:pt idx="2">
                  <c:v>Food</c:v>
                </c:pt>
                <c:pt idx="3">
                  <c:v>Transportation</c:v>
                </c:pt>
                <c:pt idx="4">
                  <c:v>Personal Care</c:v>
                </c:pt>
                <c:pt idx="5">
                  <c:v>Shopping</c:v>
                </c:pt>
                <c:pt idx="6">
                  <c:v>Entertainment</c:v>
                </c:pt>
                <c:pt idx="7">
                  <c:v>Other</c:v>
                </c:pt>
              </c:strCache>
            </c:strRef>
          </c:cat>
          <c:val>
            <c:numRef>
              <c:f>'Actual Piechart'!$B$5:$B$13</c:f>
              <c:numCache>
                <c:formatCode>General</c:formatCode>
                <c:ptCount val="8"/>
                <c:pt idx="0">
                  <c:v>1092.01</c:v>
                </c:pt>
                <c:pt idx="1">
                  <c:v>2700</c:v>
                </c:pt>
                <c:pt idx="2">
                  <c:v>484.55749999999995</c:v>
                </c:pt>
                <c:pt idx="3">
                  <c:v>6178.89</c:v>
                </c:pt>
                <c:pt idx="4">
                  <c:v>495</c:v>
                </c:pt>
                <c:pt idx="5">
                  <c:v>56.230000000000004</c:v>
                </c:pt>
                <c:pt idx="6">
                  <c:v>324.82</c:v>
                </c:pt>
                <c:pt idx="7">
                  <c:v>19.130000000000003</c:v>
                </c:pt>
              </c:numCache>
            </c:numRef>
          </c:val>
          <c:extLst>
            <c:ext xmlns:c16="http://schemas.microsoft.com/office/drawing/2014/chart" uri="{C3380CC4-5D6E-409C-BE32-E72D297353CC}">
              <c16:uniqueId val="{00000036-C43B-4DA7-AFD1-B6EF27F60716}"/>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Budget.xlsx]Actual Piechart!ActualPivot</c:name>
    <c:fmtId val="8"/>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52"/>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61"/>
        <c:spPr>
          <a:solidFill>
            <a:schemeClr val="accent1"/>
          </a:solidFill>
          <a:ln>
            <a:noFill/>
          </a:ln>
          <a:effectLst/>
        </c:spPr>
      </c:pivotFmt>
      <c:pivotFmt>
        <c:idx val="62"/>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c:spPr>
      </c:pivotFmt>
      <c:pivotFmt>
        <c:idx val="6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69"/>
        <c:spPr>
          <a:solidFill>
            <a:schemeClr val="accent1"/>
          </a:solidFill>
          <a:ln>
            <a:noFill/>
          </a:ln>
          <a:effectLst/>
        </c:spPr>
      </c:pivotFmt>
      <c:pivotFmt>
        <c:idx val="70"/>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995090319592403"/>
          <c:y val="0.12178840787194091"/>
          <c:w val="0.50519623282383819"/>
          <c:h val="0.84864979822186259"/>
        </c:manualLayout>
      </c:layout>
      <c:pieChart>
        <c:varyColors val="1"/>
        <c:ser>
          <c:idx val="0"/>
          <c:order val="0"/>
          <c:tx>
            <c:strRef>
              <c:f>'Actual Piechart'!$B$4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'Actual Piechart'!$A$5:$A$13</c:f>
              <c:strCache>
                <c:ptCount val="8"/>
                <c:pt idx="0">
                  <c:v>Housing</c:v>
                </c:pt>
                <c:pt idx="1">
                  <c:v>Savings or Investments</c:v>
                </c:pt>
                <c:pt idx="2">
                  <c:v>Food</c:v>
                </c:pt>
                <c:pt idx="3">
                  <c:v>Transportation</c:v>
                </c:pt>
                <c:pt idx="4">
                  <c:v>Personal Care</c:v>
                </c:pt>
                <c:pt idx="5">
                  <c:v>Shopping</c:v>
                </c:pt>
                <c:pt idx="6">
                  <c:v>Entertainment</c:v>
                </c:pt>
                <c:pt idx="7">
                  <c:v>Other</c:v>
                </c:pt>
              </c:strCache>
            </c:strRef>
          </c:cat>
          <c:val>
            <c:numRef>
              <c:f>'Actual Piechart'!$B$5:$B$13</c:f>
              <c:numCache>
                <c:formatCode>General</c:formatCode>
                <c:ptCount val="8"/>
                <c:pt idx="0">
                  <c:v>1092.01</c:v>
                </c:pt>
                <c:pt idx="1">
                  <c:v>2700</c:v>
                </c:pt>
                <c:pt idx="2">
                  <c:v>484.55749999999995</c:v>
                </c:pt>
                <c:pt idx="3">
                  <c:v>6178.89</c:v>
                </c:pt>
                <c:pt idx="4">
                  <c:v>495</c:v>
                </c:pt>
                <c:pt idx="5">
                  <c:v>56.230000000000004</c:v>
                </c:pt>
                <c:pt idx="6">
                  <c:v>324.82</c:v>
                </c:pt>
                <c:pt idx="7">
                  <c:v>19.130000000000003</c:v>
                </c:pt>
              </c:numCache>
            </c:numRef>
          </c:val>
          <c:extLst>
            <c:ext xmlns:c16="http://schemas.microsoft.com/office/drawing/2014/chart" uri="{C3380CC4-5D6E-409C-BE32-E72D297353CC}">
              <c16:uniqueId val="{00000036-2FBC-47C9-9A08-BF3028CE240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 Saving</a:t>
            </a:r>
            <a:endParaRPr lang="en-US"/>
          </a:p>
        </c:rich>
      </c:tx>
      <c:layout>
        <c:manualLayout>
          <c:xMode val="edge"/>
          <c:yMode val="edge"/>
          <c:x val="2.307590759075910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IncomevSaving!$F$7:$F$8</c:f>
              <c:strCache>
                <c:ptCount val="2"/>
                <c:pt idx="0">
                  <c:v>Savings or Investments</c:v>
                </c:pt>
                <c:pt idx="1">
                  <c:v>Income</c:v>
                </c:pt>
              </c:strCache>
            </c:strRef>
          </c:cat>
          <c:val>
            <c:numRef>
              <c:f>IncomevSaving!$G$7:$G$8</c:f>
              <c:numCache>
                <c:formatCode>_("$"* #,##0_);_("$"* \(#,##0\);_("$"* "-"??_);_(@_)</c:formatCode>
                <c:ptCount val="2"/>
                <c:pt idx="0">
                  <c:v>2700</c:v>
                </c:pt>
                <c:pt idx="1">
                  <c:v>4864.95</c:v>
                </c:pt>
              </c:numCache>
            </c:numRef>
          </c:val>
          <c:extLst>
            <c:ext xmlns:c16="http://schemas.microsoft.com/office/drawing/2014/chart" uri="{C3380CC4-5D6E-409C-BE32-E72D297353CC}">
              <c16:uniqueId val="{00000000-656B-4D6C-8F67-1DF53D0526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[Copy of Khanh Monthly Budget.xlsx]Actual by SubCat Pivot!ActualbyCatPivot</c:name>
    <c:fmtId val="12"/>
  </c:pivotSource>
  <c:chart>
    <c:autoTitleDeleted val="1"/>
    <c:pivotFmts>
      <c:pivotFmt>
        <c:idx val="0"/>
        <c:spPr>
          <a:solidFill>
            <a:schemeClr val="accent3"/>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
              <c:y val="3.8654063837034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56463571274144"/>
          <c:y val="4.4928769474647988E-2"/>
          <c:w val="0.70243544208018438"/>
          <c:h val="0.93825291594384763"/>
        </c:manualLayout>
      </c:layout>
      <c:barChart>
        <c:barDir val="bar"/>
        <c:grouping val="clustered"/>
        <c:varyColors val="0"/>
        <c:ser>
          <c:idx val="0"/>
          <c:order val="0"/>
          <c:tx>
            <c:strRef>
              <c:f>'Actual by SubCat Pivot'!$B$4</c:f>
              <c:strCache>
                <c:ptCount val="1"/>
                <c:pt idx="0">
                  <c:v>Sum of Actual Income</c:v>
                </c:pt>
              </c:strCache>
            </c:strRef>
          </c:tx>
          <c:spPr>
            <a:solidFill>
              <a:schemeClr val="accent2"/>
            </a:solidFill>
            <a:ln>
              <a:noFill/>
            </a:ln>
            <a:effectLst/>
          </c:spPr>
          <c:invertIfNegative val="0"/>
          <c:dLbls>
            <c:dLbl>
              <c:idx val="2"/>
              <c:layout>
                <c:manualLayout>
                  <c:x val="0"/>
                  <c:y val="3.865406383703427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Pivot'!$A$5:$A$37</c:f>
              <c:multiLvlStrCache>
                <c:ptCount val="23"/>
                <c:lvl>
                  <c:pt idx="0">
                    <c:v>Bank Profit</c:v>
                  </c:pt>
                  <c:pt idx="1">
                    <c:v>Investment Profit</c:v>
                  </c:pt>
                  <c:pt idx="2">
                    <c:v>Job</c:v>
                  </c:pt>
                  <c:pt idx="3">
                    <c:v>Resale</c:v>
                  </c:pt>
                  <c:pt idx="4">
                    <c:v>Mortgage or rent</c:v>
                  </c:pt>
                  <c:pt idx="5">
                    <c:v>Phone</c:v>
                  </c:pt>
                  <c:pt idx="6">
                    <c:v>Cryptocurrencies</c:v>
                  </c:pt>
                  <c:pt idx="7">
                    <c:v>Investment account</c:v>
                  </c:pt>
                  <c:pt idx="8">
                    <c:v>Dining out</c:v>
                  </c:pt>
                  <c:pt idx="9">
                    <c:v>Drink</c:v>
                  </c:pt>
                  <c:pt idx="10">
                    <c:v>Groceries</c:v>
                  </c:pt>
                  <c:pt idx="11">
                    <c:v>Car Project</c:v>
                  </c:pt>
                  <c:pt idx="12">
                    <c:v>Fuel</c:v>
                  </c:pt>
                  <c:pt idx="13">
                    <c:v>Insurance</c:v>
                  </c:pt>
                  <c:pt idx="14">
                    <c:v>Vehicle payment</c:v>
                  </c:pt>
                  <c:pt idx="15">
                    <c:v>Hair/nails</c:v>
                  </c:pt>
                  <c:pt idx="16">
                    <c:v>Piano lesson</c:v>
                  </c:pt>
                  <c:pt idx="17">
                    <c:v>Personal Care Product</c:v>
                  </c:pt>
                  <c:pt idx="18">
                    <c:v>Technology</c:v>
                  </c:pt>
                  <c:pt idx="19">
                    <c:v>Camping</c:v>
                  </c:pt>
                  <c:pt idx="20">
                    <c:v>Printing</c:v>
                  </c:pt>
                  <c:pt idx="21">
                    <c:v>Resale Fee</c:v>
                  </c:pt>
                  <c:pt idx="22">
                    <c:v>Shipping</c:v>
                  </c:pt>
                </c:lvl>
                <c:lvl>
                  <c:pt idx="0">
                    <c:v>Income</c:v>
                  </c:pt>
                  <c:pt idx="4">
                    <c:v>Housing</c:v>
                  </c:pt>
                  <c:pt idx="6">
                    <c:v>Savings or Investments</c:v>
                  </c:pt>
                  <c:pt idx="8">
                    <c:v>Food</c:v>
                  </c:pt>
                  <c:pt idx="11">
                    <c:v>Transportation</c:v>
                  </c:pt>
                  <c:pt idx="15">
                    <c:v>Personal Care</c:v>
                  </c:pt>
                  <c:pt idx="17">
                    <c:v>Shopping</c:v>
                  </c:pt>
                  <c:pt idx="19">
                    <c:v>Entertainment</c:v>
                  </c:pt>
                  <c:pt idx="20">
                    <c:v>Other</c:v>
                  </c:pt>
                </c:lvl>
              </c:multiLvlStrCache>
            </c:multiLvlStrRef>
          </c:cat>
          <c:val>
            <c:numRef>
              <c:f>'Actual by SubCat Pivot'!$B$5:$B$37</c:f>
              <c:numCache>
                <c:formatCode>_(* #,##0_);_(* \(#,##0\);_(* "-"_);_(@_)</c:formatCode>
                <c:ptCount val="23"/>
                <c:pt idx="0">
                  <c:v>1.23</c:v>
                </c:pt>
                <c:pt idx="1">
                  <c:v>1001.45</c:v>
                </c:pt>
                <c:pt idx="2">
                  <c:v>3808.13</c:v>
                </c:pt>
                <c:pt idx="3">
                  <c:v>54.14</c:v>
                </c:pt>
              </c:numCache>
            </c:numRef>
          </c:val>
          <c:extLst>
            <c:ext xmlns:c16="http://schemas.microsoft.com/office/drawing/2014/chart" uri="{C3380CC4-5D6E-409C-BE32-E72D297353CC}">
              <c16:uniqueId val="{00000004-DFAB-4BE0-89A0-D43F38BE3E5C}"/>
            </c:ext>
          </c:extLst>
        </c:ser>
        <c:ser>
          <c:idx val="1"/>
          <c:order val="1"/>
          <c:tx>
            <c:strRef>
              <c:f>'Actual by SubCat Pivot'!$C$4</c:f>
              <c:strCache>
                <c:ptCount val="1"/>
                <c:pt idx="0">
                  <c:v>Sum of Actual Expense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Pivot'!$A$5:$A$37</c:f>
              <c:multiLvlStrCache>
                <c:ptCount val="23"/>
                <c:lvl>
                  <c:pt idx="0">
                    <c:v>Bank Profit</c:v>
                  </c:pt>
                  <c:pt idx="1">
                    <c:v>Investment Profit</c:v>
                  </c:pt>
                  <c:pt idx="2">
                    <c:v>Job</c:v>
                  </c:pt>
                  <c:pt idx="3">
                    <c:v>Resale</c:v>
                  </c:pt>
                  <c:pt idx="4">
                    <c:v>Mortgage or rent</c:v>
                  </c:pt>
                  <c:pt idx="5">
                    <c:v>Phone</c:v>
                  </c:pt>
                  <c:pt idx="6">
                    <c:v>Cryptocurrencies</c:v>
                  </c:pt>
                  <c:pt idx="7">
                    <c:v>Investment account</c:v>
                  </c:pt>
                  <c:pt idx="8">
                    <c:v>Dining out</c:v>
                  </c:pt>
                  <c:pt idx="9">
                    <c:v>Drink</c:v>
                  </c:pt>
                  <c:pt idx="10">
                    <c:v>Groceries</c:v>
                  </c:pt>
                  <c:pt idx="11">
                    <c:v>Car Project</c:v>
                  </c:pt>
                  <c:pt idx="12">
                    <c:v>Fuel</c:v>
                  </c:pt>
                  <c:pt idx="13">
                    <c:v>Insurance</c:v>
                  </c:pt>
                  <c:pt idx="14">
                    <c:v>Vehicle payment</c:v>
                  </c:pt>
                  <c:pt idx="15">
                    <c:v>Hair/nails</c:v>
                  </c:pt>
                  <c:pt idx="16">
                    <c:v>Piano lesson</c:v>
                  </c:pt>
                  <c:pt idx="17">
                    <c:v>Personal Care Product</c:v>
                  </c:pt>
                  <c:pt idx="18">
                    <c:v>Technology</c:v>
                  </c:pt>
                  <c:pt idx="19">
                    <c:v>Camping</c:v>
                  </c:pt>
                  <c:pt idx="20">
                    <c:v>Printing</c:v>
                  </c:pt>
                  <c:pt idx="21">
                    <c:v>Resale Fee</c:v>
                  </c:pt>
                  <c:pt idx="22">
                    <c:v>Shipping</c:v>
                  </c:pt>
                </c:lvl>
                <c:lvl>
                  <c:pt idx="0">
                    <c:v>Income</c:v>
                  </c:pt>
                  <c:pt idx="4">
                    <c:v>Housing</c:v>
                  </c:pt>
                  <c:pt idx="6">
                    <c:v>Savings or Investments</c:v>
                  </c:pt>
                  <c:pt idx="8">
                    <c:v>Food</c:v>
                  </c:pt>
                  <c:pt idx="11">
                    <c:v>Transportation</c:v>
                  </c:pt>
                  <c:pt idx="15">
                    <c:v>Personal Care</c:v>
                  </c:pt>
                  <c:pt idx="17">
                    <c:v>Shopping</c:v>
                  </c:pt>
                  <c:pt idx="19">
                    <c:v>Entertainment</c:v>
                  </c:pt>
                  <c:pt idx="20">
                    <c:v>Other</c:v>
                  </c:pt>
                </c:lvl>
              </c:multiLvlStrCache>
            </c:multiLvlStrRef>
          </c:cat>
          <c:val>
            <c:numRef>
              <c:f>'Actual by SubCat Pivot'!$C$5:$C$37</c:f>
              <c:numCache>
                <c:formatCode>_(* #,##0_);_(* \(#,##0\);_(* "-"_);_(@_)</c:formatCode>
                <c:ptCount val="23"/>
                <c:pt idx="4">
                  <c:v>700</c:v>
                </c:pt>
                <c:pt idx="5">
                  <c:v>392.01</c:v>
                </c:pt>
                <c:pt idx="6">
                  <c:v>900</c:v>
                </c:pt>
                <c:pt idx="7">
                  <c:v>1800</c:v>
                </c:pt>
                <c:pt idx="8">
                  <c:v>221.0275</c:v>
                </c:pt>
                <c:pt idx="9">
                  <c:v>224.56000000000003</c:v>
                </c:pt>
                <c:pt idx="10">
                  <c:v>38.97</c:v>
                </c:pt>
                <c:pt idx="11">
                  <c:v>129.26000000000002</c:v>
                </c:pt>
                <c:pt idx="12">
                  <c:v>119.63</c:v>
                </c:pt>
                <c:pt idx="13">
                  <c:v>930</c:v>
                </c:pt>
                <c:pt idx="14">
                  <c:v>5000</c:v>
                </c:pt>
                <c:pt idx="15">
                  <c:v>235</c:v>
                </c:pt>
                <c:pt idx="16">
                  <c:v>260</c:v>
                </c:pt>
                <c:pt idx="17">
                  <c:v>28.12</c:v>
                </c:pt>
                <c:pt idx="18">
                  <c:v>28.11</c:v>
                </c:pt>
                <c:pt idx="19">
                  <c:v>324.82</c:v>
                </c:pt>
                <c:pt idx="20">
                  <c:v>0.3</c:v>
                </c:pt>
                <c:pt idx="21">
                  <c:v>8.39</c:v>
                </c:pt>
                <c:pt idx="22">
                  <c:v>10.44</c:v>
                </c:pt>
              </c:numCache>
            </c:numRef>
          </c:val>
          <c:extLst>
            <c:ext xmlns:c16="http://schemas.microsoft.com/office/drawing/2014/chart" uri="{C3380CC4-5D6E-409C-BE32-E72D297353CC}">
              <c16:uniqueId val="{00000005-DFAB-4BE0-89A0-D43F38BE3E5C}"/>
            </c:ext>
          </c:extLst>
        </c:ser>
        <c:dLbls>
          <c:dLblPos val="outEnd"/>
          <c:showLegendKey val="0"/>
          <c:showVal val="1"/>
          <c:showCatName val="0"/>
          <c:showSerName val="0"/>
          <c:showPercent val="0"/>
          <c:showBubbleSize val="0"/>
        </c:dLbls>
        <c:gapWidth val="182"/>
        <c:axId val="2097422208"/>
        <c:axId val="2097420544"/>
      </c:barChart>
      <c:catAx>
        <c:axId val="2097422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100" b="0" i="0" u="none" strike="noStrike" kern="1200" baseline="0">
                <a:solidFill>
                  <a:schemeClr val="tx1">
                    <a:lumMod val="65000"/>
                    <a:lumOff val="35000"/>
                  </a:schemeClr>
                </a:solidFill>
                <a:latin typeface="+mn-lt"/>
                <a:ea typeface="+mn-ea"/>
                <a:cs typeface="+mn-cs"/>
              </a:defRPr>
            </a:pPr>
            <a:endParaRPr lang="en-US"/>
          </a:p>
        </c:txPr>
        <c:crossAx val="2097420544"/>
        <c:crosses val="autoZero"/>
        <c:auto val="1"/>
        <c:lblAlgn val="ctr"/>
        <c:lblOffset val="100"/>
        <c:tickLblSkip val="1"/>
        <c:noMultiLvlLbl val="1"/>
      </c:catAx>
      <c:valAx>
        <c:axId val="2097420544"/>
        <c:scaling>
          <c:orientation val="minMax"/>
        </c:scaling>
        <c:delete val="1"/>
        <c:axPos val="t"/>
        <c:numFmt formatCode="_(&quot;$&quot;* #,##0_);_(&quot;$&quot;* \(#,##0\);_(&quot;$&quot;* &quot;-&quot;_);_(@_)" sourceLinked="0"/>
        <c:majorTickMark val="none"/>
        <c:minorTickMark val="none"/>
        <c:tickLblPos val="low"/>
        <c:crossAx val="20974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Budget.xlsx]Plan Piechart!PlanPivot</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Plan Budget</a:t>
            </a:r>
          </a:p>
        </c:rich>
      </c:tx>
      <c:layout>
        <c:manualLayout>
          <c:xMode val="edge"/>
          <c:yMode val="edge"/>
          <c:x val="1.514438629445552E-2"/>
          <c:y val="6.9776420841751747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4160721806046528"/>
              <c:y val="2.269801891201956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95874968627299"/>
              <c:y val="5.20798718967468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22040310196233576"/>
              <c:y val="-1.938661776866932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w="19050">
            <a:solidFill>
              <a:schemeClr val="lt1"/>
            </a:solidFill>
          </a:ln>
          <a:effectLst/>
        </c:spPr>
        <c:dLbl>
          <c:idx val="0"/>
          <c:layout>
            <c:manualLayout>
              <c:x val="0.20447886384331829"/>
              <c:y val="7.539184529954320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0.20447886384331829"/>
              <c:y val="7.539184529954320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
      </c:pivotFmt>
      <c:pivotFmt>
        <c:idx val="22"/>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241987179487181"/>
                  <c:h val="0.33903301886792453"/>
                </c:manualLayout>
              </c15:layout>
            </c:ext>
          </c:extLst>
        </c:dLbl>
      </c:pivotFmt>
      <c:pivotFmt>
        <c:idx val="23"/>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
      </c:pivotFmt>
      <c:pivotFmt>
        <c:idx val="24"/>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
      </c:pivotFmt>
      <c:pivotFmt>
        <c:idx val="25"/>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
      </c:pivotFmt>
      <c:pivotFmt>
        <c:idx val="26"/>
        <c:spPr>
          <a:solidFill>
            <a:schemeClr val="accent1"/>
          </a:solidFill>
          <a:ln w="19050">
            <a:solidFill>
              <a:schemeClr val="lt1"/>
            </a:solidFill>
          </a:ln>
          <a:effectLst/>
        </c:spPr>
        <c:dLbl>
          <c:idx val="0"/>
          <c:layout>
            <c:manualLayout>
              <c:x val="1.0347383047707192E-2"/>
              <c:y val="-5.9739848911627126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28048384579571878"/>
              <c:y val="-0.17914630874980814"/>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8.7241856388488401E-2"/>
              <c:y val="-0.10090290688569227"/>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20447897738744195"/>
              <c:y val="0.10814855395434061"/>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dLbl>
          <c:idx val="0"/>
          <c:layout>
            <c:manualLayout>
              <c:x val="4.5996827305455151E-2"/>
              <c:y val="-7.3846712057520594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0.30342539835669124"/>
          <c:y val="0.31085821896461102"/>
          <c:w val="0.43753280839895015"/>
          <c:h val="0.71546245398570463"/>
        </c:manualLayout>
      </c:layout>
      <c:pieChart>
        <c:varyColors val="1"/>
        <c:ser>
          <c:idx val="0"/>
          <c:order val="0"/>
          <c:tx>
            <c:strRef>
              <c:f>'Plan Piechart'!$B$4</c:f>
              <c:strCache>
                <c:ptCount val="1"/>
                <c:pt idx="0">
                  <c:v>Sum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8F-483E-A8CC-65561BEE1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8F-483E-A8CC-65561BEE1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8F-483E-A8CC-65561BEE1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8F-483E-A8CC-65561BEE18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8F-483E-A8CC-65561BEE18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EE-41CB-B652-76AF9C0E6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EF0-42F9-BE00-76F5B9E0ED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EF0-42F9-BE00-76F5B9E0ED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EF0-42F9-BE00-76F5B9E0ED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EF0-42F9-BE00-76F5B9E0ED08}"/>
              </c:ext>
            </c:extLst>
          </c:dPt>
          <c:dLbls>
            <c:dLbl>
              <c:idx val="1"/>
              <c:dLblPos val="bestFit"/>
              <c:showLegendKey val="0"/>
              <c:showVal val="0"/>
              <c:showCatName val="1"/>
              <c:showSerName val="0"/>
              <c:showPercent val="1"/>
              <c:showBubbleSize val="0"/>
              <c:extLst>
                <c:ext xmlns:c15="http://schemas.microsoft.com/office/drawing/2012/chart" uri="{CE6537A1-D6FC-4f65-9D91-7224C49458BB}">
                  <c15:layout>
                    <c:manualLayout>
                      <c:w val="0.26241987179487181"/>
                      <c:h val="0.33903301886792453"/>
                    </c:manualLayout>
                  </c15:layout>
                </c:ext>
                <c:ext xmlns:c16="http://schemas.microsoft.com/office/drawing/2014/chart" uri="{C3380CC4-5D6E-409C-BE32-E72D297353CC}">
                  <c16:uniqueId val="{00000003-828F-483E-A8CC-65561BEE18AE}"/>
                </c:ext>
              </c:extLst>
            </c:dLbl>
            <c:dLbl>
              <c:idx val="5"/>
              <c:layout>
                <c:manualLayout>
                  <c:x val="1.0347383047707192E-2"/>
                  <c:y val="-5.9739848911627126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BEE-41CB-B652-76AF9C0E6AFC}"/>
                </c:ext>
              </c:extLst>
            </c:dLbl>
            <c:dLbl>
              <c:idx val="6"/>
              <c:layout>
                <c:manualLayout>
                  <c:x val="4.5996827305455151E-2"/>
                  <c:y val="-7.3846712057520594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EF0-42F9-BE00-76F5B9E0ED08}"/>
                </c:ext>
              </c:extLst>
            </c:dLbl>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'Plan Piechart'!$A$5:$A$12</c:f>
              <c:strCache>
                <c:ptCount val="7"/>
                <c:pt idx="0">
                  <c:v>Housing</c:v>
                </c:pt>
                <c:pt idx="1">
                  <c:v>Savings or Investments</c:v>
                </c:pt>
                <c:pt idx="2">
                  <c:v>Food</c:v>
                </c:pt>
                <c:pt idx="3">
                  <c:v>Transportation</c:v>
                </c:pt>
                <c:pt idx="4">
                  <c:v>Personal Care</c:v>
                </c:pt>
                <c:pt idx="5">
                  <c:v>Shopping</c:v>
                </c:pt>
                <c:pt idx="6">
                  <c:v>Entertainment</c:v>
                </c:pt>
              </c:strCache>
            </c:strRef>
          </c:cat>
          <c:val>
            <c:numRef>
              <c:f>'Plan Piechart'!$B$5:$B$12</c:f>
              <c:numCache>
                <c:formatCode>_("$"* #,##0_);_("$"* \(#,##0\);_("$"* "-"_);_(@_)</c:formatCode>
                <c:ptCount val="7"/>
                <c:pt idx="0">
                  <c:v>700</c:v>
                </c:pt>
                <c:pt idx="1">
                  <c:v>2200</c:v>
                </c:pt>
                <c:pt idx="2">
                  <c:v>200</c:v>
                </c:pt>
                <c:pt idx="3">
                  <c:v>5995</c:v>
                </c:pt>
                <c:pt idx="4">
                  <c:v>510</c:v>
                </c:pt>
                <c:pt idx="5">
                  <c:v>300</c:v>
                </c:pt>
                <c:pt idx="6">
                  <c:v>200</c:v>
                </c:pt>
              </c:numCache>
            </c:numRef>
          </c:val>
          <c:extLst>
            <c:ext xmlns:c16="http://schemas.microsoft.com/office/drawing/2014/chart" uri="{C3380CC4-5D6E-409C-BE32-E72D297353CC}">
              <c16:uniqueId val="{0000001F-0409-49B4-9A31-A61B38C6354E}"/>
            </c:ext>
          </c:extLst>
        </c:ser>
        <c:ser>
          <c:idx val="1"/>
          <c:order val="1"/>
          <c:tx>
            <c:strRef>
              <c:f>'Plan Piechart'!$C$4</c:f>
              <c:strCache>
                <c:ptCount val="1"/>
                <c:pt idx="0">
                  <c:v>%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28F-483E-A8CC-65561BEE1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28F-483E-A8CC-65561BEE1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28F-483E-A8CC-65561BEE1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28F-483E-A8CC-65561BEE18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28F-483E-A8CC-65561BEE18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7BEE-41CB-B652-76AF9C0E6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0EF0-42F9-BE00-76F5B9E0ED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0EF0-42F9-BE00-76F5B9E0ED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0EF0-42F9-BE00-76F5B9E0ED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0EF0-42F9-BE00-76F5B9E0ED08}"/>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 Piechart'!$A$5:$A$12</c:f>
              <c:strCache>
                <c:ptCount val="7"/>
                <c:pt idx="0">
                  <c:v>Housing</c:v>
                </c:pt>
                <c:pt idx="1">
                  <c:v>Savings or Investments</c:v>
                </c:pt>
                <c:pt idx="2">
                  <c:v>Food</c:v>
                </c:pt>
                <c:pt idx="3">
                  <c:v>Transportation</c:v>
                </c:pt>
                <c:pt idx="4">
                  <c:v>Personal Care</c:v>
                </c:pt>
                <c:pt idx="5">
                  <c:v>Shopping</c:v>
                </c:pt>
                <c:pt idx="6">
                  <c:v>Entertainment</c:v>
                </c:pt>
              </c:strCache>
            </c:strRef>
          </c:cat>
          <c:val>
            <c:numRef>
              <c:f>'Plan Piechart'!$C$5:$C$12</c:f>
              <c:numCache>
                <c:formatCode>0%</c:formatCode>
                <c:ptCount val="7"/>
                <c:pt idx="0">
                  <c:v>6.9272637308263232E-2</c:v>
                </c:pt>
                <c:pt idx="1">
                  <c:v>0.21771400296882731</c:v>
                </c:pt>
                <c:pt idx="2">
                  <c:v>1.9792182088075209E-2</c:v>
                </c:pt>
                <c:pt idx="3">
                  <c:v>0.59327065809005441</c:v>
                </c:pt>
                <c:pt idx="4">
                  <c:v>5.0470064324591786E-2</c:v>
                </c:pt>
                <c:pt idx="5">
                  <c:v>2.9688273132112815E-2</c:v>
                </c:pt>
                <c:pt idx="6">
                  <c:v>1.9792182088075209E-2</c:v>
                </c:pt>
              </c:numCache>
            </c:numRef>
          </c:val>
          <c:extLst>
            <c:ext xmlns:c16="http://schemas.microsoft.com/office/drawing/2014/chart" uri="{C3380CC4-5D6E-409C-BE32-E72D297353CC}">
              <c16:uniqueId val="{00000020-0409-49B4-9A31-A61B38C6354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Budget.xlsx]PlanvActual by Cat Pivot!PlanvActualbyCatPivot</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Plan</a:t>
            </a:r>
            <a:r>
              <a:rPr lang="en-US" b="1" baseline="0"/>
              <a:t> vs Actual by Cat</a:t>
            </a:r>
            <a:endParaRPr lang="en-US" b="1"/>
          </a:p>
        </c:rich>
      </c:tx>
      <c:layout>
        <c:manualLayout>
          <c:xMode val="edge"/>
          <c:yMode val="edge"/>
          <c:x val="3.4755134281200632E-2"/>
          <c:y val="2.10999692488933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pivotFmt>
      <c:pivotFmt>
        <c:idx val="24"/>
        <c:spPr>
          <a:solidFill>
            <a:schemeClr val="accent1"/>
          </a:solidFill>
          <a:ln>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1"/>
          </a:solidFill>
          <a:ln w="25400">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accent1"/>
          </a:solidFill>
          <a:ln w="25400">
            <a:noFill/>
          </a:ln>
          <a:effectLst/>
        </c:spPr>
        <c:marker>
          <c:symbol val="none"/>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69173369798625E-2"/>
          <c:y val="0.11157106221680003"/>
          <c:w val="0.90477307116921601"/>
          <c:h val="0.65779509480559706"/>
        </c:manualLayout>
      </c:layout>
      <c:barChart>
        <c:barDir val="col"/>
        <c:grouping val="clustered"/>
        <c:varyColors val="0"/>
        <c:ser>
          <c:idx val="0"/>
          <c:order val="0"/>
          <c:tx>
            <c:strRef>
              <c:f>'PlanvActual by Cat Pivot'!$B$4</c:f>
              <c:strCache>
                <c:ptCount val="1"/>
                <c:pt idx="0">
                  <c:v>Budget</c:v>
                </c:pt>
              </c:strCache>
            </c:strRef>
          </c:tx>
          <c:spPr>
            <a:solidFill>
              <a:schemeClr val="accent1"/>
            </a:solidFill>
            <a:ln w="25400">
              <a:noFill/>
            </a:ln>
            <a:effectLst/>
          </c:spPr>
          <c:invertIfNegative val="0"/>
          <c:dLbls>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Pivot'!$B$5:$B$19</c:f>
              <c:numCache>
                <c:formatCode>_("$"* #,##0_);_("$"* \(#,##0\);_("$"* "-"_);_(@_)</c:formatCode>
                <c:ptCount val="14"/>
                <c:pt idx="0">
                  <c:v>700</c:v>
                </c:pt>
                <c:pt idx="1">
                  <c:v>2200</c:v>
                </c:pt>
                <c:pt idx="2">
                  <c:v>200</c:v>
                </c:pt>
                <c:pt idx="3">
                  <c:v>5995</c:v>
                </c:pt>
                <c:pt idx="4">
                  <c:v>510</c:v>
                </c:pt>
                <c:pt idx="5">
                  <c:v>300</c:v>
                </c:pt>
                <c:pt idx="6">
                  <c:v>200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9872-4693-AC87-4487691259DA}"/>
            </c:ext>
          </c:extLst>
        </c:ser>
        <c:ser>
          <c:idx val="1"/>
          <c:order val="1"/>
          <c:tx>
            <c:strRef>
              <c:f>'PlanvActual by Cat Pivot'!$C$4</c:f>
              <c:strCache>
                <c:ptCount val="1"/>
                <c:pt idx="0">
                  <c:v>Expense</c:v>
                </c:pt>
              </c:strCache>
            </c:strRef>
          </c:tx>
          <c:spPr>
            <a:solidFill>
              <a:srgbClr val="FFC00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Pivot'!$C$5:$C$19</c:f>
              <c:numCache>
                <c:formatCode>"$"#,##0</c:formatCode>
                <c:ptCount val="14"/>
                <c:pt idx="0">
                  <c:v>1092.01</c:v>
                </c:pt>
                <c:pt idx="1">
                  <c:v>2700</c:v>
                </c:pt>
                <c:pt idx="2">
                  <c:v>484.55749999999995</c:v>
                </c:pt>
                <c:pt idx="3">
                  <c:v>6178.89</c:v>
                </c:pt>
                <c:pt idx="4">
                  <c:v>495</c:v>
                </c:pt>
                <c:pt idx="5">
                  <c:v>56.230000000000004</c:v>
                </c:pt>
                <c:pt idx="6">
                  <c:v>324.82</c:v>
                </c:pt>
                <c:pt idx="13">
                  <c:v>19.130000000000003</c:v>
                </c:pt>
              </c:numCache>
            </c:numRef>
          </c:val>
          <c:extLst>
            <c:ext xmlns:c16="http://schemas.microsoft.com/office/drawing/2014/chart" uri="{C3380CC4-5D6E-409C-BE32-E72D297353CC}">
              <c16:uniqueId val="{00000001-B0F9-4CD4-A9B8-F60740D312DE}"/>
            </c:ext>
          </c:extLst>
        </c:ser>
        <c:dLbls>
          <c:showLegendKey val="0"/>
          <c:showVal val="0"/>
          <c:showCatName val="0"/>
          <c:showSerName val="0"/>
          <c:showPercent val="0"/>
          <c:showBubbleSize val="0"/>
        </c:dLbls>
        <c:gapWidth val="18"/>
        <c:axId val="1880860176"/>
        <c:axId val="1880859344"/>
      </c:barChart>
      <c:catAx>
        <c:axId val="18808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59344"/>
        <c:crosses val="autoZero"/>
        <c:auto val="1"/>
        <c:lblAlgn val="ctr"/>
        <c:lblOffset val="100"/>
        <c:noMultiLvlLbl val="0"/>
      </c:catAx>
      <c:valAx>
        <c:axId val="1880859344"/>
        <c:scaling>
          <c:orientation val="minMax"/>
        </c:scaling>
        <c:delete val="1"/>
        <c:axPos val="l"/>
        <c:numFmt formatCode="_(&quot;$&quot;* #,##0_);_(&quot;$&quot;* \(#,##0\);_(&quot;$&quot;* &quot;-&quot;_);_(@_)" sourceLinked="1"/>
        <c:majorTickMark val="none"/>
        <c:minorTickMark val="none"/>
        <c:tickLblPos val="nextTo"/>
        <c:crossAx val="1880860176"/>
        <c:crosses val="autoZero"/>
        <c:crossBetween val="between"/>
      </c:valAx>
      <c:spPr>
        <a:noFill/>
        <a:ln>
          <a:noFill/>
        </a:ln>
        <a:effectLst/>
      </c:spPr>
    </c:plotArea>
    <c:legend>
      <c:legendPos val="t"/>
      <c:layout>
        <c:manualLayout>
          <c:xMode val="edge"/>
          <c:yMode val="edge"/>
          <c:x val="0.60854098202986107"/>
          <c:y val="8.6780149570529583E-2"/>
          <c:w val="0.26569114155133972"/>
          <c:h val="5.80140199059276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Budget.xlsx]Income v Expense!PivotTable1</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Income vs Expense by Time</a:t>
            </a:r>
          </a:p>
        </c:rich>
      </c:tx>
      <c:layout>
        <c:manualLayout>
          <c:xMode val="edge"/>
          <c:yMode val="edge"/>
          <c:x val="1.4193424295245545E-2"/>
          <c:y val="2.2012578616352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dash"/>
          <c:size val="13"/>
          <c:spPr>
            <a:solidFill>
              <a:schemeClr val="tx2"/>
            </a:solidFill>
            <a:ln w="9525">
              <a:solidFill>
                <a:schemeClr val="tx2">
                  <a:lumMod val="60000"/>
                  <a:lumOff val="40000"/>
                </a:schemeClr>
              </a:solidFill>
            </a:ln>
            <a:effectLst/>
          </c:spPr>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noFill/>
            <a:round/>
          </a:ln>
          <a:effectLst/>
        </c:spPr>
        <c:marker>
          <c:symbol val="dash"/>
          <c:size val="18"/>
          <c:spPr>
            <a:solidFill>
              <a:srgbClr val="FFC000"/>
            </a:solidFill>
            <a:ln w="9525">
              <a:noFill/>
            </a:ln>
            <a:effectLst/>
          </c:spPr>
        </c:marker>
      </c:pivotFmt>
      <c:pivotFmt>
        <c:idx val="6"/>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91857506361322E-2"/>
          <c:y val="7.697273840769904E-2"/>
          <c:w val="0.95950744324898318"/>
          <c:h val="0.8358545040360521"/>
        </c:manualLayout>
      </c:layout>
      <c:barChart>
        <c:barDir val="col"/>
        <c:grouping val="clustered"/>
        <c:varyColors val="0"/>
        <c:ser>
          <c:idx val="0"/>
          <c:order val="0"/>
          <c:tx>
            <c:strRef>
              <c:f>'Income v Expense'!$B$3</c:f>
              <c:strCache>
                <c:ptCount val="1"/>
                <c:pt idx="0">
                  <c:v>Income</c:v>
                </c:pt>
              </c:strCache>
            </c:strRef>
          </c:tx>
          <c:spPr>
            <a:solidFill>
              <a:schemeClr val="accent2"/>
            </a:solidFill>
            <a:ln>
              <a:noFill/>
            </a:ln>
            <a:effectLst/>
          </c:spPr>
          <c:invertIfNegative val="0"/>
          <c:dLbls>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Expense'!$B$4:$B$13</c:f>
              <c:numCache>
                <c:formatCode>_("$"* #,##0_);_("$"* \(#,##0\);_("$"* "-"_);_(@_)</c:formatCode>
                <c:ptCount val="9"/>
                <c:pt idx="0">
                  <c:v>5354.51</c:v>
                </c:pt>
                <c:pt idx="1">
                  <c:v>3645.2799999999997</c:v>
                </c:pt>
                <c:pt idx="2">
                  <c:v>5634.99</c:v>
                </c:pt>
                <c:pt idx="3">
                  <c:v>4864.95</c:v>
                </c:pt>
                <c:pt idx="4">
                  <c:v>15398.88</c:v>
                </c:pt>
                <c:pt idx="5">
                  <c:v>4751.1399999999994</c:v>
                </c:pt>
                <c:pt idx="6">
                  <c:v>5628.12</c:v>
                </c:pt>
                <c:pt idx="7">
                  <c:v>4217.1400000000003</c:v>
                </c:pt>
              </c:numCache>
            </c:numRef>
          </c:val>
          <c:extLst>
            <c:ext xmlns:c16="http://schemas.microsoft.com/office/drawing/2014/chart" uri="{C3380CC4-5D6E-409C-BE32-E72D297353CC}">
              <c16:uniqueId val="{00000000-4E22-493E-A00F-1B410506F176}"/>
            </c:ext>
          </c:extLst>
        </c:ser>
        <c:dLbls>
          <c:showLegendKey val="0"/>
          <c:showVal val="0"/>
          <c:showCatName val="0"/>
          <c:showSerName val="0"/>
          <c:showPercent val="0"/>
          <c:showBubbleSize val="0"/>
        </c:dLbls>
        <c:gapWidth val="219"/>
        <c:axId val="1540512480"/>
        <c:axId val="1562491696"/>
      </c:barChart>
      <c:lineChart>
        <c:grouping val="stacked"/>
        <c:varyColors val="0"/>
        <c:ser>
          <c:idx val="1"/>
          <c:order val="1"/>
          <c:tx>
            <c:strRef>
              <c:f>'Income v Expense'!$C$3</c:f>
              <c:strCache>
                <c:ptCount val="1"/>
                <c:pt idx="0">
                  <c:v>Expense</c:v>
                </c:pt>
              </c:strCache>
            </c:strRef>
          </c:tx>
          <c:spPr>
            <a:ln w="28575" cap="rnd">
              <a:noFill/>
              <a:round/>
            </a:ln>
            <a:effectLst/>
          </c:spPr>
          <c:marker>
            <c:symbol val="dash"/>
            <c:size val="18"/>
            <c:spPr>
              <a:solidFill>
                <a:srgbClr val="FFC000"/>
              </a:solidFill>
              <a:ln w="9525">
                <a:no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Expense'!$C$4:$C$13</c:f>
              <c:numCache>
                <c:formatCode>_(* #,##0_);_(* \(#,##0\);_(* "-"_);_(@_)</c:formatCode>
                <c:ptCount val="9"/>
                <c:pt idx="0">
                  <c:v>8626.619999999999</c:v>
                </c:pt>
                <c:pt idx="1">
                  <c:v>3463.1900000000005</c:v>
                </c:pt>
                <c:pt idx="2">
                  <c:v>6872.7100000000009</c:v>
                </c:pt>
                <c:pt idx="3">
                  <c:v>11350.637499999999</c:v>
                </c:pt>
                <c:pt idx="4">
                  <c:v>6427.2699999999995</c:v>
                </c:pt>
                <c:pt idx="5">
                  <c:v>6035.8600000000015</c:v>
                </c:pt>
                <c:pt idx="6">
                  <c:v>12686.699999999999</c:v>
                </c:pt>
                <c:pt idx="7">
                  <c:v>5723.2000000000035</c:v>
                </c:pt>
                <c:pt idx="8">
                  <c:v>748.78</c:v>
                </c:pt>
              </c:numCache>
            </c:numRef>
          </c:val>
          <c:smooth val="0"/>
          <c:extLst>
            <c:ext xmlns:c16="http://schemas.microsoft.com/office/drawing/2014/chart" uri="{C3380CC4-5D6E-409C-BE32-E72D297353CC}">
              <c16:uniqueId val="{00000001-4E22-493E-A00F-1B410506F176}"/>
            </c:ext>
          </c:extLst>
        </c:ser>
        <c:dLbls>
          <c:showLegendKey val="0"/>
          <c:showVal val="0"/>
          <c:showCatName val="0"/>
          <c:showSerName val="0"/>
          <c:showPercent val="0"/>
          <c:showBubbleSize val="0"/>
        </c:dLbls>
        <c:marker val="1"/>
        <c:smooth val="0"/>
        <c:axId val="1540512480"/>
        <c:axId val="1562491696"/>
      </c:lineChart>
      <c:catAx>
        <c:axId val="15405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2491696"/>
        <c:crosses val="autoZero"/>
        <c:auto val="1"/>
        <c:lblAlgn val="ctr"/>
        <c:lblOffset val="100"/>
        <c:noMultiLvlLbl val="0"/>
      </c:catAx>
      <c:valAx>
        <c:axId val="1562491696"/>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1540512480"/>
        <c:crosses val="autoZero"/>
        <c:crossBetween val="between"/>
      </c:valAx>
      <c:spPr>
        <a:noFill/>
        <a:ln>
          <a:noFill/>
        </a:ln>
        <a:effectLst/>
      </c:spPr>
    </c:plotArea>
    <c:legend>
      <c:legendPos val="r"/>
      <c:layout>
        <c:manualLayout>
          <c:xMode val="edge"/>
          <c:yMode val="edge"/>
          <c:x val="0.54220464426679493"/>
          <c:y val="6.6820185212697458E-3"/>
          <c:w val="0.37436525014525857"/>
          <c:h val="0.1200008398950131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Budget.xlsx]Income v Expense!PivotTable1</c:name>
    <c:fmtId val="0"/>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Income vs Expense</a:t>
            </a:r>
          </a:p>
        </c:rich>
      </c:tx>
      <c:layout>
        <c:manualLayout>
          <c:xMode val="edge"/>
          <c:yMode val="edge"/>
          <c:x val="1.4193424295245545E-2"/>
          <c:y val="2.20125786163522E-2"/>
        </c:manualLayout>
      </c:layout>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dash"/>
          <c:size val="13"/>
          <c:spPr>
            <a:solidFill>
              <a:schemeClr val="tx2"/>
            </a:solidFill>
            <a:ln w="9525">
              <a:solidFill>
                <a:schemeClr val="tx2">
                  <a:lumMod val="60000"/>
                  <a:lumOff val="40000"/>
                </a:schemeClr>
              </a:solidFill>
            </a:ln>
            <a:effectLst/>
          </c:spPr>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18"/>
          <c:spPr>
            <a:solidFill>
              <a:srgbClr val="FFC000"/>
            </a:solidFill>
            <a:ln w="9525">
              <a:noFill/>
            </a:ln>
            <a:effectLst/>
          </c:spPr>
        </c:marker>
      </c:pivotFmt>
    </c:pivotFmts>
    <c:plotArea>
      <c:layout>
        <c:manualLayout>
          <c:layoutTarget val="inner"/>
          <c:xMode val="edge"/>
          <c:yMode val="edge"/>
          <c:x val="2.2391857506361322E-2"/>
          <c:y val="7.697273840769904E-2"/>
          <c:w val="0.95950744324898318"/>
          <c:h val="0.8358545040360521"/>
        </c:manualLayout>
      </c:layout>
      <c:barChart>
        <c:barDir val="col"/>
        <c:grouping val="clustered"/>
        <c:varyColors val="0"/>
        <c:ser>
          <c:idx val="0"/>
          <c:order val="0"/>
          <c:tx>
            <c:strRef>
              <c:f>'Income v Expense'!$B$3</c:f>
              <c:strCache>
                <c:ptCount val="1"/>
                <c:pt idx="0">
                  <c:v>Income</c:v>
                </c:pt>
              </c:strCache>
            </c:strRef>
          </c:tx>
          <c:spPr>
            <a:solidFill>
              <a:schemeClr val="accent2"/>
            </a:solidFill>
            <a:ln>
              <a:noFill/>
            </a:ln>
            <a:effectLst/>
          </c:spPr>
          <c:invertIfNegative val="0"/>
          <c:dLbls>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Expense'!$B$4:$B$13</c:f>
              <c:numCache>
                <c:formatCode>_("$"* #,##0_);_("$"* \(#,##0\);_("$"* "-"_);_(@_)</c:formatCode>
                <c:ptCount val="9"/>
                <c:pt idx="0">
                  <c:v>5354.51</c:v>
                </c:pt>
                <c:pt idx="1">
                  <c:v>3645.2799999999997</c:v>
                </c:pt>
                <c:pt idx="2">
                  <c:v>5634.99</c:v>
                </c:pt>
                <c:pt idx="3">
                  <c:v>4864.95</c:v>
                </c:pt>
                <c:pt idx="4">
                  <c:v>15398.88</c:v>
                </c:pt>
                <c:pt idx="5">
                  <c:v>4751.1399999999994</c:v>
                </c:pt>
                <c:pt idx="6">
                  <c:v>5628.12</c:v>
                </c:pt>
                <c:pt idx="7">
                  <c:v>4217.1400000000003</c:v>
                </c:pt>
              </c:numCache>
            </c:numRef>
          </c:val>
          <c:extLst>
            <c:ext xmlns:c16="http://schemas.microsoft.com/office/drawing/2014/chart" uri="{C3380CC4-5D6E-409C-BE32-E72D297353CC}">
              <c16:uniqueId val="{00000000-B028-491E-BF87-D31E8CA53CBD}"/>
            </c:ext>
          </c:extLst>
        </c:ser>
        <c:dLbls>
          <c:showLegendKey val="0"/>
          <c:showVal val="0"/>
          <c:showCatName val="0"/>
          <c:showSerName val="0"/>
          <c:showPercent val="0"/>
          <c:showBubbleSize val="0"/>
        </c:dLbls>
        <c:gapWidth val="219"/>
        <c:axId val="1540512480"/>
        <c:axId val="1562491696"/>
      </c:barChart>
      <c:lineChart>
        <c:grouping val="stacked"/>
        <c:varyColors val="0"/>
        <c:ser>
          <c:idx val="1"/>
          <c:order val="1"/>
          <c:tx>
            <c:strRef>
              <c:f>'Income v Expense'!$C$3</c:f>
              <c:strCache>
                <c:ptCount val="1"/>
                <c:pt idx="0">
                  <c:v>Expense</c:v>
                </c:pt>
              </c:strCache>
            </c:strRef>
          </c:tx>
          <c:spPr>
            <a:ln w="28575" cap="rnd">
              <a:noFill/>
              <a:round/>
            </a:ln>
            <a:effectLst/>
          </c:spPr>
          <c:marker>
            <c:symbol val="dash"/>
            <c:size val="18"/>
            <c:spPr>
              <a:solidFill>
                <a:srgbClr val="FFC000"/>
              </a:solidFill>
              <a:ln w="9525">
                <a:no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Expense'!$C$4:$C$13</c:f>
              <c:numCache>
                <c:formatCode>_(* #,##0_);_(* \(#,##0\);_(* "-"_);_(@_)</c:formatCode>
                <c:ptCount val="9"/>
                <c:pt idx="0">
                  <c:v>8626.619999999999</c:v>
                </c:pt>
                <c:pt idx="1">
                  <c:v>3463.1900000000005</c:v>
                </c:pt>
                <c:pt idx="2">
                  <c:v>6872.7100000000009</c:v>
                </c:pt>
                <c:pt idx="3">
                  <c:v>11350.637499999999</c:v>
                </c:pt>
                <c:pt idx="4">
                  <c:v>6427.2699999999995</c:v>
                </c:pt>
                <c:pt idx="5">
                  <c:v>6035.8600000000015</c:v>
                </c:pt>
                <c:pt idx="6">
                  <c:v>12686.699999999999</c:v>
                </c:pt>
                <c:pt idx="7">
                  <c:v>5723.2000000000035</c:v>
                </c:pt>
                <c:pt idx="8">
                  <c:v>748.78</c:v>
                </c:pt>
              </c:numCache>
            </c:numRef>
          </c:val>
          <c:smooth val="0"/>
          <c:extLst>
            <c:ext xmlns:c16="http://schemas.microsoft.com/office/drawing/2014/chart" uri="{C3380CC4-5D6E-409C-BE32-E72D297353CC}">
              <c16:uniqueId val="{00000003-5DC2-4CF0-90F0-A3F251465820}"/>
            </c:ext>
          </c:extLst>
        </c:ser>
        <c:dLbls>
          <c:showLegendKey val="0"/>
          <c:showVal val="0"/>
          <c:showCatName val="0"/>
          <c:showSerName val="0"/>
          <c:showPercent val="0"/>
          <c:showBubbleSize val="0"/>
        </c:dLbls>
        <c:marker val="1"/>
        <c:smooth val="0"/>
        <c:axId val="1540512480"/>
        <c:axId val="1562491696"/>
      </c:lineChart>
      <c:catAx>
        <c:axId val="15405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2491696"/>
        <c:crosses val="autoZero"/>
        <c:auto val="1"/>
        <c:lblAlgn val="ctr"/>
        <c:lblOffset val="100"/>
        <c:noMultiLvlLbl val="0"/>
      </c:catAx>
      <c:valAx>
        <c:axId val="1562491696"/>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1540512480"/>
        <c:crosses val="autoZero"/>
        <c:crossBetween val="between"/>
      </c:valAx>
      <c:spPr>
        <a:noFill/>
        <a:ln>
          <a:noFill/>
        </a:ln>
        <a:effectLst/>
      </c:spPr>
    </c:plotArea>
    <c:legend>
      <c:legendPos val="r"/>
      <c:layout>
        <c:manualLayout>
          <c:xMode val="edge"/>
          <c:yMode val="edge"/>
          <c:x val="0.54220464426679493"/>
          <c:y val="6.6820185212697458E-3"/>
          <c:w val="0.37436525014525857"/>
          <c:h val="0.1200008398950131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Budget.xlsx]PlanvActual by Cat Pivot!PlanvActualbyCatPivot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a:t>
            </a:r>
            <a:r>
              <a:rPr lang="en-US" baseline="0"/>
              <a:t> vs Actual Budget by Cat</a:t>
            </a:r>
            <a:endParaRPr lang="en-US"/>
          </a:p>
        </c:rich>
      </c:tx>
      <c:layout>
        <c:manualLayout>
          <c:xMode val="edge"/>
          <c:yMode val="edge"/>
          <c:x val="2.0737260595306499E-2"/>
          <c:y val="5.235602094240837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w="19050">
            <a:noFill/>
          </a:ln>
          <a:effectLst/>
        </c:spPr>
        <c:marker>
          <c:symbol val="none"/>
        </c:marker>
        <c:dLbl>
          <c:idx val="0"/>
          <c:numFmt formatCode="#,##0" sourceLinked="0"/>
          <c:spPr>
            <a:noFill/>
            <a:ln>
              <a:noFill/>
            </a:ln>
            <a:effectLst/>
          </c:spPr>
          <c:txPr>
            <a:bodyPr rot="0" spcFirstLastPara="1" vertOverflow="ellipsis"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ln w="25400">
            <a:noFill/>
          </a:ln>
          <a:effectLst/>
        </c:spPr>
        <c:marker>
          <c:symbol val="none"/>
        </c:marker>
        <c:dLbl>
          <c:idx val="0"/>
          <c:numFmt formatCode="#,###;0" sourceLinked="0"/>
          <c:spPr>
            <a:noFill/>
            <a:ln>
              <a:noFill/>
            </a:ln>
            <a:effectLst/>
          </c:spPr>
          <c:txPr>
            <a:bodyPr rot="0" spcFirstLastPara="1" vertOverflow="ellipsis"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pivotFmt>
      <c:pivotFmt>
        <c:idx val="2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'PlanvActual by Cat Pivot'!$B$4</c:f>
              <c:strCache>
                <c:ptCount val="1"/>
                <c:pt idx="0">
                  <c:v>Budget</c:v>
                </c:pt>
              </c:strCache>
            </c:strRef>
          </c:tx>
          <c:spPr>
            <a:ln w="25400">
              <a:noFill/>
            </a:ln>
            <a:effectLst/>
          </c:spPr>
          <c:invertIfNegative val="0"/>
          <c:dLbls>
            <c:numFmt formatCode="#,###;0" sourceLinked="0"/>
            <c:spPr>
              <a:noFill/>
              <a:ln>
                <a:noFill/>
              </a:ln>
              <a:effectLst/>
            </c:spPr>
            <c:txPr>
              <a:bodyPr rot="0" spcFirstLastPara="1" vertOverflow="ellipsis"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Pivot'!$B$5:$B$19</c:f>
              <c:numCache>
                <c:formatCode>_("$"* #,##0_);_("$"* \(#,##0\);_("$"* "-"_);_(@_)</c:formatCode>
                <c:ptCount val="14"/>
                <c:pt idx="0">
                  <c:v>700</c:v>
                </c:pt>
                <c:pt idx="1">
                  <c:v>2200</c:v>
                </c:pt>
                <c:pt idx="2">
                  <c:v>200</c:v>
                </c:pt>
                <c:pt idx="3">
                  <c:v>5995</c:v>
                </c:pt>
                <c:pt idx="4">
                  <c:v>510</c:v>
                </c:pt>
                <c:pt idx="5">
                  <c:v>300</c:v>
                </c:pt>
                <c:pt idx="6">
                  <c:v>200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63E6-4E0E-8102-7227ABDBCA2B}"/>
            </c:ext>
          </c:extLst>
        </c:ser>
        <c:ser>
          <c:idx val="1"/>
          <c:order val="1"/>
          <c:tx>
            <c:strRef>
              <c:f>'PlanvActual by Cat Pivot'!$C$4</c:f>
              <c:strCache>
                <c:ptCount val="1"/>
                <c:pt idx="0">
                  <c:v>Expense</c:v>
                </c:pt>
              </c:strCache>
            </c:strRef>
          </c:tx>
          <c:invertIfNegative val="0"/>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Pivot'!$C$5:$C$19</c:f>
              <c:numCache>
                <c:formatCode>"$"#,##0</c:formatCode>
                <c:ptCount val="14"/>
                <c:pt idx="0">
                  <c:v>1092.01</c:v>
                </c:pt>
                <c:pt idx="1">
                  <c:v>2700</c:v>
                </c:pt>
                <c:pt idx="2">
                  <c:v>484.55749999999995</c:v>
                </c:pt>
                <c:pt idx="3">
                  <c:v>6178.89</c:v>
                </c:pt>
                <c:pt idx="4">
                  <c:v>495</c:v>
                </c:pt>
                <c:pt idx="5">
                  <c:v>56.230000000000004</c:v>
                </c:pt>
                <c:pt idx="6">
                  <c:v>324.82</c:v>
                </c:pt>
                <c:pt idx="13">
                  <c:v>19.130000000000003</c:v>
                </c:pt>
              </c:numCache>
            </c:numRef>
          </c:val>
          <c:extLst>
            <c:ext xmlns:c16="http://schemas.microsoft.com/office/drawing/2014/chart" uri="{C3380CC4-5D6E-409C-BE32-E72D297353CC}">
              <c16:uniqueId val="{00000001-F43A-4EE5-BAFA-80FEF1156708}"/>
            </c:ext>
          </c:extLst>
        </c:ser>
        <c:dLbls>
          <c:showLegendKey val="0"/>
          <c:showVal val="0"/>
          <c:showCatName val="0"/>
          <c:showSerName val="0"/>
          <c:showPercent val="0"/>
          <c:showBubbleSize val="0"/>
        </c:dLbls>
        <c:gapWidth val="18"/>
        <c:axId val="1880860176"/>
        <c:axId val="1880859344"/>
      </c:barChart>
      <c:catAx>
        <c:axId val="18808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59344"/>
        <c:crosses val="autoZero"/>
        <c:auto val="1"/>
        <c:lblAlgn val="ctr"/>
        <c:lblOffset val="100"/>
        <c:noMultiLvlLbl val="0"/>
      </c:catAx>
      <c:valAx>
        <c:axId val="1880859344"/>
        <c:scaling>
          <c:orientation val="minMax"/>
        </c:scaling>
        <c:delete val="1"/>
        <c:axPos val="l"/>
        <c:numFmt formatCode="_(&quot;$&quot;* #,##0_);_(&quot;$&quot;* \(#,##0\);_(&quot;$&quot;* &quot;-&quot;_);_(@_)" sourceLinked="1"/>
        <c:majorTickMark val="none"/>
        <c:minorTickMark val="none"/>
        <c:tickLblPos val="nextTo"/>
        <c:crossAx val="1880860176"/>
        <c:crosses val="autoZero"/>
        <c:crossBetween val="between"/>
      </c:valAx>
      <c:spPr>
        <a:noFill/>
        <a:ln>
          <a:noFill/>
        </a:ln>
        <a:effectLst/>
      </c:spPr>
    </c:plotArea>
    <c:legend>
      <c:legendPos val="t"/>
      <c:layout>
        <c:manualLayout>
          <c:xMode val="edge"/>
          <c:yMode val="edge"/>
          <c:x val="0.50574436838160919"/>
          <c:y val="6.5837696335078549E-2"/>
          <c:w val="0.2295420994770844"/>
          <c:h val="5.11367093446171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Budget.xlsx]Actual by SubCat Pivot!ActualbyCatPivot</c:name>
    <c:fmtId val="10"/>
  </c:pivotSource>
  <c:chart>
    <c:autoTitleDeleted val="1"/>
    <c:pivotFmts>
      <c:pivotFmt>
        <c:idx val="0"/>
        <c:spPr>
          <a:solidFill>
            <a:schemeClr val="accent1"/>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'Actual by SubCat Pivot'!$B$4</c:f>
              <c:strCache>
                <c:ptCount val="1"/>
                <c:pt idx="0">
                  <c:v>Sum of Actual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Pivot'!$A$5:$A$37</c:f>
              <c:multiLvlStrCache>
                <c:ptCount val="23"/>
                <c:lvl>
                  <c:pt idx="0">
                    <c:v>Bank Profit</c:v>
                  </c:pt>
                  <c:pt idx="1">
                    <c:v>Investment Profit</c:v>
                  </c:pt>
                  <c:pt idx="2">
                    <c:v>Job</c:v>
                  </c:pt>
                  <c:pt idx="3">
                    <c:v>Resale</c:v>
                  </c:pt>
                  <c:pt idx="4">
                    <c:v>Mortgage or rent</c:v>
                  </c:pt>
                  <c:pt idx="5">
                    <c:v>Phone</c:v>
                  </c:pt>
                  <c:pt idx="6">
                    <c:v>Cryptocurrencies</c:v>
                  </c:pt>
                  <c:pt idx="7">
                    <c:v>Investment account</c:v>
                  </c:pt>
                  <c:pt idx="8">
                    <c:v>Dining out</c:v>
                  </c:pt>
                  <c:pt idx="9">
                    <c:v>Drink</c:v>
                  </c:pt>
                  <c:pt idx="10">
                    <c:v>Groceries</c:v>
                  </c:pt>
                  <c:pt idx="11">
                    <c:v>Car Project</c:v>
                  </c:pt>
                  <c:pt idx="12">
                    <c:v>Fuel</c:v>
                  </c:pt>
                  <c:pt idx="13">
                    <c:v>Insurance</c:v>
                  </c:pt>
                  <c:pt idx="14">
                    <c:v>Vehicle payment</c:v>
                  </c:pt>
                  <c:pt idx="15">
                    <c:v>Hair/nails</c:v>
                  </c:pt>
                  <c:pt idx="16">
                    <c:v>Piano lesson</c:v>
                  </c:pt>
                  <c:pt idx="17">
                    <c:v>Personal Care Product</c:v>
                  </c:pt>
                  <c:pt idx="18">
                    <c:v>Technology</c:v>
                  </c:pt>
                  <c:pt idx="19">
                    <c:v>Camping</c:v>
                  </c:pt>
                  <c:pt idx="20">
                    <c:v>Printing</c:v>
                  </c:pt>
                  <c:pt idx="21">
                    <c:v>Resale Fee</c:v>
                  </c:pt>
                  <c:pt idx="22">
                    <c:v>Shipping</c:v>
                  </c:pt>
                </c:lvl>
                <c:lvl>
                  <c:pt idx="0">
                    <c:v>Income</c:v>
                  </c:pt>
                  <c:pt idx="4">
                    <c:v>Housing</c:v>
                  </c:pt>
                  <c:pt idx="6">
                    <c:v>Savings or Investments</c:v>
                  </c:pt>
                  <c:pt idx="8">
                    <c:v>Food</c:v>
                  </c:pt>
                  <c:pt idx="11">
                    <c:v>Transportation</c:v>
                  </c:pt>
                  <c:pt idx="15">
                    <c:v>Personal Care</c:v>
                  </c:pt>
                  <c:pt idx="17">
                    <c:v>Shopping</c:v>
                  </c:pt>
                  <c:pt idx="19">
                    <c:v>Entertainment</c:v>
                  </c:pt>
                  <c:pt idx="20">
                    <c:v>Other</c:v>
                  </c:pt>
                </c:lvl>
              </c:multiLvlStrCache>
            </c:multiLvlStrRef>
          </c:cat>
          <c:val>
            <c:numRef>
              <c:f>'Actual by SubCat Pivot'!$B$5:$B$37</c:f>
              <c:numCache>
                <c:formatCode>_(* #,##0_);_(* \(#,##0\);_(* "-"_);_(@_)</c:formatCode>
                <c:ptCount val="23"/>
                <c:pt idx="0">
                  <c:v>1.23</c:v>
                </c:pt>
                <c:pt idx="1">
                  <c:v>1001.45</c:v>
                </c:pt>
                <c:pt idx="2">
                  <c:v>3808.13</c:v>
                </c:pt>
                <c:pt idx="3">
                  <c:v>54.14</c:v>
                </c:pt>
              </c:numCache>
            </c:numRef>
          </c:val>
          <c:extLst>
            <c:ext xmlns:c16="http://schemas.microsoft.com/office/drawing/2014/chart" uri="{C3380CC4-5D6E-409C-BE32-E72D297353CC}">
              <c16:uniqueId val="{00000002-8F8F-4E5C-85DB-52BB16CDE3F2}"/>
            </c:ext>
          </c:extLst>
        </c:ser>
        <c:ser>
          <c:idx val="1"/>
          <c:order val="1"/>
          <c:tx>
            <c:strRef>
              <c:f>'Actual by SubCat Pivot'!$C$4</c:f>
              <c:strCache>
                <c:ptCount val="1"/>
                <c:pt idx="0">
                  <c:v>Sum of Actual Expense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Pivot'!$A$5:$A$37</c:f>
              <c:multiLvlStrCache>
                <c:ptCount val="23"/>
                <c:lvl>
                  <c:pt idx="0">
                    <c:v>Bank Profit</c:v>
                  </c:pt>
                  <c:pt idx="1">
                    <c:v>Investment Profit</c:v>
                  </c:pt>
                  <c:pt idx="2">
                    <c:v>Job</c:v>
                  </c:pt>
                  <c:pt idx="3">
                    <c:v>Resale</c:v>
                  </c:pt>
                  <c:pt idx="4">
                    <c:v>Mortgage or rent</c:v>
                  </c:pt>
                  <c:pt idx="5">
                    <c:v>Phone</c:v>
                  </c:pt>
                  <c:pt idx="6">
                    <c:v>Cryptocurrencies</c:v>
                  </c:pt>
                  <c:pt idx="7">
                    <c:v>Investment account</c:v>
                  </c:pt>
                  <c:pt idx="8">
                    <c:v>Dining out</c:v>
                  </c:pt>
                  <c:pt idx="9">
                    <c:v>Drink</c:v>
                  </c:pt>
                  <c:pt idx="10">
                    <c:v>Groceries</c:v>
                  </c:pt>
                  <c:pt idx="11">
                    <c:v>Car Project</c:v>
                  </c:pt>
                  <c:pt idx="12">
                    <c:v>Fuel</c:v>
                  </c:pt>
                  <c:pt idx="13">
                    <c:v>Insurance</c:v>
                  </c:pt>
                  <c:pt idx="14">
                    <c:v>Vehicle payment</c:v>
                  </c:pt>
                  <c:pt idx="15">
                    <c:v>Hair/nails</c:v>
                  </c:pt>
                  <c:pt idx="16">
                    <c:v>Piano lesson</c:v>
                  </c:pt>
                  <c:pt idx="17">
                    <c:v>Personal Care Product</c:v>
                  </c:pt>
                  <c:pt idx="18">
                    <c:v>Technology</c:v>
                  </c:pt>
                  <c:pt idx="19">
                    <c:v>Camping</c:v>
                  </c:pt>
                  <c:pt idx="20">
                    <c:v>Printing</c:v>
                  </c:pt>
                  <c:pt idx="21">
                    <c:v>Resale Fee</c:v>
                  </c:pt>
                  <c:pt idx="22">
                    <c:v>Shipping</c:v>
                  </c:pt>
                </c:lvl>
                <c:lvl>
                  <c:pt idx="0">
                    <c:v>Income</c:v>
                  </c:pt>
                  <c:pt idx="4">
                    <c:v>Housing</c:v>
                  </c:pt>
                  <c:pt idx="6">
                    <c:v>Savings or Investments</c:v>
                  </c:pt>
                  <c:pt idx="8">
                    <c:v>Food</c:v>
                  </c:pt>
                  <c:pt idx="11">
                    <c:v>Transportation</c:v>
                  </c:pt>
                  <c:pt idx="15">
                    <c:v>Personal Care</c:v>
                  </c:pt>
                  <c:pt idx="17">
                    <c:v>Shopping</c:v>
                  </c:pt>
                  <c:pt idx="19">
                    <c:v>Entertainment</c:v>
                  </c:pt>
                  <c:pt idx="20">
                    <c:v>Other</c:v>
                  </c:pt>
                </c:lvl>
              </c:multiLvlStrCache>
            </c:multiLvlStrRef>
          </c:cat>
          <c:val>
            <c:numRef>
              <c:f>'Actual by SubCat Pivot'!$C$5:$C$37</c:f>
              <c:numCache>
                <c:formatCode>_(* #,##0_);_(* \(#,##0\);_(* "-"_);_(@_)</c:formatCode>
                <c:ptCount val="23"/>
                <c:pt idx="4">
                  <c:v>700</c:v>
                </c:pt>
                <c:pt idx="5">
                  <c:v>392.01</c:v>
                </c:pt>
                <c:pt idx="6">
                  <c:v>900</c:v>
                </c:pt>
                <c:pt idx="7">
                  <c:v>1800</c:v>
                </c:pt>
                <c:pt idx="8">
                  <c:v>221.0275</c:v>
                </c:pt>
                <c:pt idx="9">
                  <c:v>224.56000000000003</c:v>
                </c:pt>
                <c:pt idx="10">
                  <c:v>38.97</c:v>
                </c:pt>
                <c:pt idx="11">
                  <c:v>129.26000000000002</c:v>
                </c:pt>
                <c:pt idx="12">
                  <c:v>119.63</c:v>
                </c:pt>
                <c:pt idx="13">
                  <c:v>930</c:v>
                </c:pt>
                <c:pt idx="14">
                  <c:v>5000</c:v>
                </c:pt>
                <c:pt idx="15">
                  <c:v>235</c:v>
                </c:pt>
                <c:pt idx="16">
                  <c:v>260</c:v>
                </c:pt>
                <c:pt idx="17">
                  <c:v>28.12</c:v>
                </c:pt>
                <c:pt idx="18">
                  <c:v>28.11</c:v>
                </c:pt>
                <c:pt idx="19">
                  <c:v>324.82</c:v>
                </c:pt>
                <c:pt idx="20">
                  <c:v>0.3</c:v>
                </c:pt>
                <c:pt idx="21">
                  <c:v>8.39</c:v>
                </c:pt>
                <c:pt idx="22">
                  <c:v>10.44</c:v>
                </c:pt>
              </c:numCache>
            </c:numRef>
          </c:val>
          <c:extLst>
            <c:ext xmlns:c16="http://schemas.microsoft.com/office/drawing/2014/chart" uri="{C3380CC4-5D6E-409C-BE32-E72D297353CC}">
              <c16:uniqueId val="{00000003-8F8F-4E5C-85DB-52BB16CDE3F2}"/>
            </c:ext>
          </c:extLst>
        </c:ser>
        <c:dLbls>
          <c:dLblPos val="outEnd"/>
          <c:showLegendKey val="0"/>
          <c:showVal val="1"/>
          <c:showCatName val="0"/>
          <c:showSerName val="0"/>
          <c:showPercent val="0"/>
          <c:showBubbleSize val="0"/>
        </c:dLbls>
        <c:gapWidth val="182"/>
        <c:axId val="2097422208"/>
        <c:axId val="2097420544"/>
      </c:barChart>
      <c:catAx>
        <c:axId val="2097422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097420544"/>
        <c:crosses val="autoZero"/>
        <c:auto val="1"/>
        <c:lblAlgn val="ctr"/>
        <c:lblOffset val="100"/>
        <c:noMultiLvlLbl val="0"/>
      </c:catAx>
      <c:valAx>
        <c:axId val="2097420544"/>
        <c:scaling>
          <c:orientation val="minMax"/>
        </c:scaling>
        <c:delete val="1"/>
        <c:axPos val="t"/>
        <c:numFmt formatCode="_(&quot;$&quot;* #,##0_);_(&quot;$&quot;* \(#,##0\);_(&quot;$&quot;* &quot;-&quot;_);_(@_)" sourceLinked="0"/>
        <c:majorTickMark val="none"/>
        <c:minorTickMark val="none"/>
        <c:tickLblPos val="low"/>
        <c:crossAx val="20974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Khanh Monthly Budget.xlsx]Plan Piechart!PlanPivot</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Plan Budget</a:t>
            </a:r>
          </a:p>
        </c:rich>
      </c:tx>
      <c:layout>
        <c:manualLayout>
          <c:xMode val="edge"/>
          <c:yMode val="edge"/>
          <c:x val="3.5063287453569077E-2"/>
          <c:y val="2.347417840375586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4160721806046528"/>
              <c:y val="2.269801891201956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95874968627299"/>
              <c:y val="5.20798718967468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22040310196233576"/>
              <c:y val="-1.938661776866932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0447886384331829"/>
              <c:y val="7.539184529954320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manualLayout>
          <c:layoutTarget val="inner"/>
          <c:xMode val="edge"/>
          <c:yMode val="edge"/>
          <c:x val="0.27830798747559155"/>
          <c:y val="0.24770290603134762"/>
          <c:w val="0.49386805545410722"/>
          <c:h val="0.68430560897111514"/>
        </c:manualLayout>
      </c:layout>
      <c:pieChart>
        <c:varyColors val="1"/>
        <c:ser>
          <c:idx val="0"/>
          <c:order val="0"/>
          <c:tx>
            <c:strRef>
              <c:f>'Plan Piechart'!$B$4</c:f>
              <c:strCache>
                <c:ptCount val="1"/>
                <c:pt idx="0">
                  <c:v>Sum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CA-4B13-BEBF-322E2D782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A-4B13-BEBF-322E2D782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CA-4B13-BEBF-322E2D7822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CA-4B13-BEBF-322E2D7822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CA-4B13-BEBF-322E2D7822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D4-41A4-BD19-75ABAB3ABB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0B-4AF5-B6CB-64B4C34D48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70B-4AF5-B6CB-64B4C34D48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70B-4AF5-B6CB-64B4C34D48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70B-4AF5-B6CB-64B4C34D4873}"/>
              </c:ext>
            </c:extLst>
          </c:dPt>
          <c:dLbls>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'Plan Piechart'!$A$5:$A$12</c:f>
              <c:strCache>
                <c:ptCount val="7"/>
                <c:pt idx="0">
                  <c:v>Housing</c:v>
                </c:pt>
                <c:pt idx="1">
                  <c:v>Savings or Investments</c:v>
                </c:pt>
                <c:pt idx="2">
                  <c:v>Food</c:v>
                </c:pt>
                <c:pt idx="3">
                  <c:v>Transportation</c:v>
                </c:pt>
                <c:pt idx="4">
                  <c:v>Personal Care</c:v>
                </c:pt>
                <c:pt idx="5">
                  <c:v>Shopping</c:v>
                </c:pt>
                <c:pt idx="6">
                  <c:v>Entertainment</c:v>
                </c:pt>
              </c:strCache>
            </c:strRef>
          </c:cat>
          <c:val>
            <c:numRef>
              <c:f>'Plan Piechart'!$B$5:$B$12</c:f>
              <c:numCache>
                <c:formatCode>_("$"* #,##0_);_("$"* \(#,##0\);_("$"* "-"_);_(@_)</c:formatCode>
                <c:ptCount val="7"/>
                <c:pt idx="0">
                  <c:v>700</c:v>
                </c:pt>
                <c:pt idx="1">
                  <c:v>2200</c:v>
                </c:pt>
                <c:pt idx="2">
                  <c:v>200</c:v>
                </c:pt>
                <c:pt idx="3">
                  <c:v>5995</c:v>
                </c:pt>
                <c:pt idx="4">
                  <c:v>510</c:v>
                </c:pt>
                <c:pt idx="5">
                  <c:v>300</c:v>
                </c:pt>
                <c:pt idx="6">
                  <c:v>200</c:v>
                </c:pt>
              </c:numCache>
            </c:numRef>
          </c:val>
          <c:extLst>
            <c:ext xmlns:c16="http://schemas.microsoft.com/office/drawing/2014/chart" uri="{C3380CC4-5D6E-409C-BE32-E72D297353CC}">
              <c16:uniqueId val="{0000001E-3AE6-4A88-A69E-432413CEC4A7}"/>
            </c:ext>
          </c:extLst>
        </c:ser>
        <c:ser>
          <c:idx val="1"/>
          <c:order val="1"/>
          <c:tx>
            <c:strRef>
              <c:f>'Plan Piechart'!$C$4</c:f>
              <c:strCache>
                <c:ptCount val="1"/>
                <c:pt idx="0">
                  <c:v>%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A4CA-4B13-BEBF-322E2D782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A4CA-4B13-BEBF-322E2D782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A4CA-4B13-BEBF-322E2D7822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A4CA-4B13-BEBF-322E2D7822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A4CA-4B13-BEBF-322E2D7822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D3D4-41A4-BD19-75ABAB3ABB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770B-4AF5-B6CB-64B4C34D48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770B-4AF5-B6CB-64B4C34D48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770B-4AF5-B6CB-64B4C34D48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770B-4AF5-B6CB-64B4C34D4873}"/>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 Piechart'!$A$5:$A$12</c:f>
              <c:strCache>
                <c:ptCount val="7"/>
                <c:pt idx="0">
                  <c:v>Housing</c:v>
                </c:pt>
                <c:pt idx="1">
                  <c:v>Savings or Investments</c:v>
                </c:pt>
                <c:pt idx="2">
                  <c:v>Food</c:v>
                </c:pt>
                <c:pt idx="3">
                  <c:v>Transportation</c:v>
                </c:pt>
                <c:pt idx="4">
                  <c:v>Personal Care</c:v>
                </c:pt>
                <c:pt idx="5">
                  <c:v>Shopping</c:v>
                </c:pt>
                <c:pt idx="6">
                  <c:v>Entertainment</c:v>
                </c:pt>
              </c:strCache>
            </c:strRef>
          </c:cat>
          <c:val>
            <c:numRef>
              <c:f>'Plan Piechart'!$C$5:$C$12</c:f>
              <c:numCache>
                <c:formatCode>0%</c:formatCode>
                <c:ptCount val="7"/>
                <c:pt idx="0">
                  <c:v>6.9272637308263232E-2</c:v>
                </c:pt>
                <c:pt idx="1">
                  <c:v>0.21771400296882731</c:v>
                </c:pt>
                <c:pt idx="2">
                  <c:v>1.9792182088075209E-2</c:v>
                </c:pt>
                <c:pt idx="3">
                  <c:v>0.59327065809005441</c:v>
                </c:pt>
                <c:pt idx="4">
                  <c:v>5.0470064324591786E-2</c:v>
                </c:pt>
                <c:pt idx="5">
                  <c:v>2.9688273132112815E-2</c:v>
                </c:pt>
                <c:pt idx="6">
                  <c:v>1.9792182088075209E-2</c:v>
                </c:pt>
              </c:numCache>
            </c:numRef>
          </c:val>
          <c:extLst>
            <c:ext xmlns:c16="http://schemas.microsoft.com/office/drawing/2014/chart" uri="{C3380CC4-5D6E-409C-BE32-E72D297353CC}">
              <c16:uniqueId val="{0000001F-3AE6-4A88-A69E-432413CEC4A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13</xdr:row>
      <xdr:rowOff>0</xdr:rowOff>
    </xdr:from>
    <xdr:to>
      <xdr:col>2</xdr:col>
      <xdr:colOff>6462</xdr:colOff>
      <xdr:row>21</xdr:row>
      <xdr:rowOff>187325</xdr:rowOff>
    </xdr:to>
    <mc:AlternateContent xmlns:mc="http://schemas.openxmlformats.org/markup-compatibility/2006" xmlns:a14="http://schemas.microsoft.com/office/drawing/2010/main">
      <mc:Choice Requires="a14">
        <xdr:graphicFrame macro="">
          <xdr:nvGraphicFramePr>
            <xdr:cNvPr id="15" name="Category 3">
              <a:extLst>
                <a:ext uri="{FF2B5EF4-FFF2-40B4-BE49-F238E27FC236}">
                  <a16:creationId xmlns:a16="http://schemas.microsoft.com/office/drawing/2014/main" id="{F6F52E3C-3E13-4A7F-9763-43C021DE9FE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2171700"/>
              <a:ext cx="1225662" cy="2454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5365</xdr:rowOff>
    </xdr:from>
    <xdr:to>
      <xdr:col>2</xdr:col>
      <xdr:colOff>6462</xdr:colOff>
      <xdr:row>13</xdr:row>
      <xdr:rowOff>3330</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AD297021-6464-41B1-80D6-4FBC89E1588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1043590"/>
              <a:ext cx="1225662" cy="1131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0</xdr:rowOff>
    </xdr:from>
    <xdr:to>
      <xdr:col>2</xdr:col>
      <xdr:colOff>6462</xdr:colOff>
      <xdr:row>6</xdr:row>
      <xdr:rowOff>1725</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9DF7D72F-1825-46DA-9443-6B4F074CEAA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552450"/>
              <a:ext cx="1225662" cy="4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456514</xdr:colOff>
      <xdr:row>0</xdr:row>
      <xdr:rowOff>16656</xdr:rowOff>
    </xdr:from>
    <xdr:to>
      <xdr:col>8</xdr:col>
      <xdr:colOff>917524</xdr:colOff>
      <xdr:row>1</xdr:row>
      <xdr:rowOff>284222</xdr:rowOff>
    </xdr:to>
    <xdr:pic>
      <xdr:nvPicPr>
        <xdr:cNvPr id="12" name="Graphic 11" descr="Flying Money with solid fill">
          <a:extLst>
            <a:ext uri="{FF2B5EF4-FFF2-40B4-BE49-F238E27FC236}">
              <a16:creationId xmlns:a16="http://schemas.microsoft.com/office/drawing/2014/main" id="{89D400A8-E6B5-4542-BD39-A58766DE27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114" y="16656"/>
          <a:ext cx="461010" cy="505691"/>
        </a:xfrm>
        <a:prstGeom prst="rect">
          <a:avLst/>
        </a:prstGeom>
      </xdr:spPr>
    </xdr:pic>
    <xdr:clientData/>
  </xdr:twoCellAnchor>
  <xdr:twoCellAnchor editAs="absolute">
    <xdr:from>
      <xdr:col>4</xdr:col>
      <xdr:colOff>608436</xdr:colOff>
      <xdr:row>0</xdr:row>
      <xdr:rowOff>31059</xdr:rowOff>
    </xdr:from>
    <xdr:to>
      <xdr:col>4</xdr:col>
      <xdr:colOff>1093136</xdr:colOff>
      <xdr:row>1</xdr:row>
      <xdr:rowOff>295136</xdr:rowOff>
    </xdr:to>
    <xdr:pic>
      <xdr:nvPicPr>
        <xdr:cNvPr id="14" name="Graphic 13" descr="Treasure chest with solid fill">
          <a:extLst>
            <a:ext uri="{FF2B5EF4-FFF2-40B4-BE49-F238E27FC236}">
              <a16:creationId xmlns:a16="http://schemas.microsoft.com/office/drawing/2014/main" id="{CB2E4471-8CDC-4533-9714-74120E9931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00284" y="31059"/>
          <a:ext cx="484700" cy="504273"/>
        </a:xfrm>
        <a:prstGeom prst="rect">
          <a:avLst/>
        </a:prstGeom>
      </xdr:spPr>
    </xdr:pic>
    <xdr:clientData/>
  </xdr:twoCellAnchor>
  <xdr:twoCellAnchor editAs="absolute">
    <xdr:from>
      <xdr:col>3</xdr:col>
      <xdr:colOff>1</xdr:colOff>
      <xdr:row>3</xdr:row>
      <xdr:rowOff>8662</xdr:rowOff>
    </xdr:from>
    <xdr:to>
      <xdr:col>5</xdr:col>
      <xdr:colOff>475180</xdr:colOff>
      <xdr:row>15</xdr:row>
      <xdr:rowOff>371475</xdr:rowOff>
    </xdr:to>
    <xdr:graphicFrame macro="">
      <xdr:nvGraphicFramePr>
        <xdr:cNvPr id="19" name="Piechart">
          <a:extLst>
            <a:ext uri="{FF2B5EF4-FFF2-40B4-BE49-F238E27FC236}">
              <a16:creationId xmlns:a16="http://schemas.microsoft.com/office/drawing/2014/main" id="{B5BF4C8E-2E10-4FFC-85D2-5CFB8D64ED9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31488</xdr:colOff>
      <xdr:row>15</xdr:row>
      <xdr:rowOff>371475</xdr:rowOff>
    </xdr:from>
    <xdr:to>
      <xdr:col>11</xdr:col>
      <xdr:colOff>851647</xdr:colOff>
      <xdr:row>32</xdr:row>
      <xdr:rowOff>9525</xdr:rowOff>
    </xdr:to>
    <xdr:graphicFrame macro="">
      <xdr:nvGraphicFramePr>
        <xdr:cNvPr id="22" name="ActualbySubCat">
          <a:extLst>
            <a:ext uri="{FF2B5EF4-FFF2-40B4-BE49-F238E27FC236}">
              <a16:creationId xmlns:a16="http://schemas.microsoft.com/office/drawing/2014/main" id="{8F939BCB-99EF-4A32-BB07-25E5D566472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485777</xdr:colOff>
      <xdr:row>3</xdr:row>
      <xdr:rowOff>8659</xdr:rowOff>
    </xdr:from>
    <xdr:to>
      <xdr:col>8</xdr:col>
      <xdr:colOff>638176</xdr:colOff>
      <xdr:row>15</xdr:row>
      <xdr:rowOff>372133</xdr:rowOff>
    </xdr:to>
    <xdr:graphicFrame macro="">
      <xdr:nvGraphicFramePr>
        <xdr:cNvPr id="23" name="Chart 22">
          <a:extLst>
            <a:ext uri="{FF2B5EF4-FFF2-40B4-BE49-F238E27FC236}">
              <a16:creationId xmlns:a16="http://schemas.microsoft.com/office/drawing/2014/main" id="{C2BBE104-C89C-47DE-B339-9E55B7443C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0</xdr:colOff>
      <xdr:row>21</xdr:row>
      <xdr:rowOff>187324</xdr:rowOff>
    </xdr:from>
    <xdr:to>
      <xdr:col>2</xdr:col>
      <xdr:colOff>6462</xdr:colOff>
      <xdr:row>31</xdr:row>
      <xdr:rowOff>228599</xdr:rowOff>
    </xdr:to>
    <mc:AlternateContent xmlns:mc="http://schemas.openxmlformats.org/markup-compatibility/2006" xmlns:a14="http://schemas.microsoft.com/office/drawing/2010/main">
      <mc:Choice Requires="a14">
        <xdr:graphicFrame macro="">
          <xdr:nvGraphicFramePr>
            <xdr:cNvPr id="25" name="Sub-Category">
              <a:extLst>
                <a:ext uri="{FF2B5EF4-FFF2-40B4-BE49-F238E27FC236}">
                  <a16:creationId xmlns:a16="http://schemas.microsoft.com/office/drawing/2014/main" id="{9E77972B-C0D4-4A0E-8C9F-B4497379D43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0" y="4625975"/>
              <a:ext cx="1225662"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874059</xdr:colOff>
      <xdr:row>15</xdr:row>
      <xdr:rowOff>363474</xdr:rowOff>
    </xdr:from>
    <xdr:to>
      <xdr:col>15</xdr:col>
      <xdr:colOff>1485901</xdr:colOff>
      <xdr:row>32</xdr:row>
      <xdr:rowOff>0</xdr:rowOff>
    </xdr:to>
    <xdr:graphicFrame macro="">
      <xdr:nvGraphicFramePr>
        <xdr:cNvPr id="27" name="PlanvsActualBarChart">
          <a:extLst>
            <a:ext uri="{FF2B5EF4-FFF2-40B4-BE49-F238E27FC236}">
              <a16:creationId xmlns:a16="http://schemas.microsoft.com/office/drawing/2014/main" id="{D07E734D-5108-4546-AEC5-37E75A2FC2F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647700</xdr:colOff>
      <xdr:row>3</xdr:row>
      <xdr:rowOff>0</xdr:rowOff>
    </xdr:from>
    <xdr:to>
      <xdr:col>16</xdr:col>
      <xdr:colOff>0</xdr:colOff>
      <xdr:row>15</xdr:row>
      <xdr:rowOff>363474</xdr:rowOff>
    </xdr:to>
    <xdr:graphicFrame macro="">
      <xdr:nvGraphicFramePr>
        <xdr:cNvPr id="17" name="Chart 16">
          <a:extLst>
            <a:ext uri="{FF2B5EF4-FFF2-40B4-BE49-F238E27FC236}">
              <a16:creationId xmlns:a16="http://schemas.microsoft.com/office/drawing/2014/main" id="{11306A29-CAB7-4A61-B938-9AD264A4B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419099</xdr:colOff>
      <xdr:row>4</xdr:row>
      <xdr:rowOff>152399</xdr:rowOff>
    </xdr:from>
    <xdr:to>
      <xdr:col>13</xdr:col>
      <xdr:colOff>561974</xdr:colOff>
      <xdr:row>26</xdr:row>
      <xdr:rowOff>161924</xdr:rowOff>
    </xdr:to>
    <xdr:graphicFrame macro="">
      <xdr:nvGraphicFramePr>
        <xdr:cNvPr id="2" name="Chart 1">
          <a:extLst>
            <a:ext uri="{FF2B5EF4-FFF2-40B4-BE49-F238E27FC236}">
              <a16:creationId xmlns:a16="http://schemas.microsoft.com/office/drawing/2014/main" id="{EC1558E0-DAA4-4FD5-8C86-2159DE7FF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501017</xdr:colOff>
      <xdr:row>3</xdr:row>
      <xdr:rowOff>161923</xdr:rowOff>
    </xdr:from>
    <xdr:to>
      <xdr:col>11</xdr:col>
      <xdr:colOff>66675</xdr:colOff>
      <xdr:row>29</xdr:row>
      <xdr:rowOff>142874</xdr:rowOff>
    </xdr:to>
    <xdr:graphicFrame macro="">
      <xdr:nvGraphicFramePr>
        <xdr:cNvPr id="3" name="PlanvsActualBarChart">
          <a:extLst>
            <a:ext uri="{FF2B5EF4-FFF2-40B4-BE49-F238E27FC236}">
              <a16:creationId xmlns:a16="http://schemas.microsoft.com/office/drawing/2014/main" id="{E3F17389-932D-4968-9457-42012BFEC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594360</xdr:colOff>
      <xdr:row>2</xdr:row>
      <xdr:rowOff>167640</xdr:rowOff>
    </xdr:from>
    <xdr:to>
      <xdr:col>12</xdr:col>
      <xdr:colOff>495300</xdr:colOff>
      <xdr:row>24</xdr:row>
      <xdr:rowOff>15240</xdr:rowOff>
    </xdr:to>
    <xdr:graphicFrame macro="">
      <xdr:nvGraphicFramePr>
        <xdr:cNvPr id="2" name="Chart 1">
          <a:extLst>
            <a:ext uri="{FF2B5EF4-FFF2-40B4-BE49-F238E27FC236}">
              <a16:creationId xmlns:a16="http://schemas.microsoft.com/office/drawing/2014/main" id="{5B27594C-47DB-43EE-8E60-3504835AF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289560</xdr:colOff>
      <xdr:row>2</xdr:row>
      <xdr:rowOff>30480</xdr:rowOff>
    </xdr:from>
    <xdr:to>
      <xdr:col>10</xdr:col>
      <xdr:colOff>373380</xdr:colOff>
      <xdr:row>19</xdr:row>
      <xdr:rowOff>15240</xdr:rowOff>
    </xdr:to>
    <xdr:graphicFrame macro="">
      <xdr:nvGraphicFramePr>
        <xdr:cNvPr id="3" name="Chart 2">
          <a:extLst>
            <a:ext uri="{FF2B5EF4-FFF2-40B4-BE49-F238E27FC236}">
              <a16:creationId xmlns:a16="http://schemas.microsoft.com/office/drawing/2014/main" id="{7CBD0EB4-BA13-44BE-8C87-CE4A72E63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365760</xdr:colOff>
      <xdr:row>2</xdr:row>
      <xdr:rowOff>45720</xdr:rowOff>
    </xdr:from>
    <xdr:to>
      <xdr:col>12</xdr:col>
      <xdr:colOff>213360</xdr:colOff>
      <xdr:row>20</xdr:row>
      <xdr:rowOff>160020</xdr:rowOff>
    </xdr:to>
    <xdr:graphicFrame macro="">
      <xdr:nvGraphicFramePr>
        <xdr:cNvPr id="2" name="Piechart">
          <a:extLst>
            <a:ext uri="{FF2B5EF4-FFF2-40B4-BE49-F238E27FC236}">
              <a16:creationId xmlns:a16="http://schemas.microsoft.com/office/drawing/2014/main" id="{DF8F8579-C59D-45AA-B06C-4A275B01F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638176</xdr:colOff>
      <xdr:row>18</xdr:row>
      <xdr:rowOff>104775</xdr:rowOff>
    </xdr:from>
    <xdr:to>
      <xdr:col>5</xdr:col>
      <xdr:colOff>1476376</xdr:colOff>
      <xdr:row>35</xdr:row>
      <xdr:rowOff>95250</xdr:rowOff>
    </xdr:to>
    <xdr:graphicFrame macro="">
      <xdr:nvGraphicFramePr>
        <xdr:cNvPr id="7" name="Chart 6">
          <a:extLst>
            <a:ext uri="{FF2B5EF4-FFF2-40B4-BE49-F238E27FC236}">
              <a16:creationId xmlns:a16="http://schemas.microsoft.com/office/drawing/2014/main" id="{92C950A0-8F2D-493A-A902-6C5EBE28D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45.467181828702" createdVersion="6" refreshedVersion="6" minRefreshableVersion="3" recordCount="554" xr:uid="{1FBACF7C-ADC7-48F4-9125-CDE3F4DB0DDD}">
  <cacheSource type="worksheet">
    <worksheetSource name="Data"/>
  </cacheSource>
  <cacheFields count="12">
    <cacheField name="Year" numFmtId="0">
      <sharedItems/>
    </cacheField>
    <cacheField name="Month" numFmtId="0">
      <sharedItems/>
    </cacheField>
    <cacheField name="Date" numFmtId="14">
      <sharedItems containsSemiMixedTypes="0" containsNonDate="0" containsDate="1" containsString="0" minDate="2021-01-01T00:00:00" maxDate="2021-09-03T00:00:00" count="201">
        <d v="2021-01-01T00:00:00"/>
        <d v="2021-01-03T00:00:00"/>
        <d v="2021-01-04T00:00:00"/>
        <d v="2021-01-06T00:00:00"/>
        <d v="2021-01-07T00:00:00"/>
        <d v="2021-01-08T00:00:00"/>
        <d v="2021-01-09T00:00:00"/>
        <d v="2021-01-10T00:00:00"/>
        <d v="2021-01-11T00:00:00"/>
        <d v="2021-01-12T00:00:00"/>
        <d v="2021-01-15T00:00:00"/>
        <d v="2021-01-18T00:00:00"/>
        <d v="2021-01-19T00:00:00"/>
        <d v="2021-01-20T00:00:00"/>
        <d v="2021-01-21T00:00:00"/>
        <d v="2021-01-22T00:00:00"/>
        <d v="2021-01-25T00:00:00"/>
        <d v="2021-01-26T00:00:00"/>
        <d v="2021-01-28T00:00:00"/>
        <d v="2021-01-29T00:00:00"/>
        <d v="2021-01-30T00:00:00"/>
        <d v="2021-02-01T00:00:00"/>
        <d v="2021-02-02T00:00:00"/>
        <d v="2021-02-03T00:00:00"/>
        <d v="2021-02-06T00:00:00"/>
        <d v="2021-02-08T00:00:00"/>
        <d v="2021-02-09T00:00:00"/>
        <d v="2021-02-10T00:00:00"/>
        <d v="2021-02-11T00:00:00"/>
        <d v="2021-02-12T00:00:00"/>
        <d v="2021-02-14T00:00:00"/>
        <d v="2021-02-15T00:00:00"/>
        <d v="2021-02-17T00:00:00"/>
        <d v="2021-02-18T00:00:00"/>
        <d v="2021-02-19T00:00:00"/>
        <d v="2021-02-22T00:00:00"/>
        <d v="2021-02-23T00:00:00"/>
        <d v="2021-02-24T00:00:00"/>
        <d v="2021-02-25T00:00:00"/>
        <d v="2021-02-26T00:00:00"/>
        <d v="2021-02-28T00:00:00"/>
        <d v="2021-03-01T00:00:00"/>
        <d v="2021-03-02T00:00:00"/>
        <d v="2021-03-03T00:00:00"/>
        <d v="2021-03-05T00:00:00"/>
        <d v="2021-03-08T00:00:00"/>
        <d v="2021-03-09T00:00:00"/>
        <d v="2021-03-10T00:00:00"/>
        <d v="2021-03-12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9T00:00:00"/>
        <d v="2021-03-30T00:00:00"/>
        <d v="2021-03-31T00:00:00"/>
        <d v="2021-04-01T00:00:00"/>
        <d v="2021-04-02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1T00:00:00"/>
        <d v="2021-04-22T00:00:00"/>
        <d v="2021-04-23T00:00:00"/>
        <d v="2021-04-26T00:00:00"/>
        <d v="2021-04-27T00:00:00"/>
        <d v="2021-04-28T00:00:00"/>
        <d v="2021-04-29T00:00:00"/>
        <d v="2021-04-30T00:00:00"/>
        <d v="2021-05-01T00:00:00"/>
        <d v="2021-05-03T00:00:00"/>
        <d v="2021-05-04T00:00:00"/>
        <d v="2021-05-07T00:00:00"/>
        <d v="2021-05-09T00:00:00"/>
        <d v="2021-05-10T00:00:00"/>
        <d v="2021-05-11T00:00:00"/>
        <d v="2021-05-12T00:00:00"/>
        <d v="2021-05-13T00:00:00"/>
        <d v="2021-05-14T00:00:00"/>
        <d v="2021-05-15T00:00:00"/>
        <d v="2021-05-17T00:00:00"/>
        <d v="2021-05-19T00:00:00"/>
        <d v="2021-05-20T00:00:00"/>
        <d v="2021-05-21T00:00:00"/>
        <d v="2021-05-22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3T00:00:00"/>
        <d v="2021-06-14T00:00:00"/>
        <d v="2021-06-15T00:00:00"/>
        <d v="2021-06-16T00:00:00"/>
        <d v="2021-06-17T00:00:00"/>
        <d v="2021-06-18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6T00:00:00"/>
        <d v="2021-07-07T00:00:00"/>
        <d v="2021-07-08T00:00:00"/>
        <d v="2021-07-09T00:00:00"/>
        <d v="2021-07-10T00:00:00"/>
        <d v="2021-07-11T00:00:00"/>
        <d v="2021-07-12T00:00:00"/>
        <d v="2021-07-13T00:00:00"/>
        <d v="2021-07-14T00:00:00"/>
        <d v="2021-07-16T00:00:00"/>
        <d v="2021-07-17T00:00:00"/>
        <d v="2021-07-18T00:00:00"/>
        <d v="2021-07-19T00:00:00"/>
        <d v="2021-07-20T00:00:00"/>
        <d v="2021-07-21T00:00:00"/>
        <d v="2021-07-22T00:00:00"/>
        <d v="2021-07-24T00:00:00"/>
        <d v="2021-07-25T00:00:00"/>
        <d v="2021-07-26T00:00:00"/>
        <d v="2021-07-28T00:00:00"/>
        <d v="2021-07-29T00:00:00"/>
        <d v="2021-08-01T00:00:00"/>
        <d v="2021-07-30T00:00:00"/>
        <d v="2021-07-31T00:00:00"/>
        <d v="2021-08-02T00:00:00"/>
        <d v="2021-08-03T00:00:00"/>
        <d v="2021-08-04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2T00:00:00"/>
        <d v="2021-08-23T00:00:00"/>
        <d v="2021-08-24T00:00:00"/>
        <d v="2021-08-25T00:00:00"/>
        <d v="2021-08-26T00:00:00"/>
        <d v="2021-08-27T00:00:00"/>
        <d v="2021-08-29T00:00:00"/>
        <d v="2021-08-30T00:00:00"/>
        <d v="2021-08-31T00:00:00"/>
        <d v="2021-09-01T00:00:00"/>
        <d v="2021-09-02T00:00:00"/>
      </sharedItems>
      <fieldGroup par="11" base="2">
        <rangePr groupBy="days" startDate="2021-01-01T00:00:00" endDate="2021-09-03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3/2021"/>
        </groupItems>
      </fieldGroup>
    </cacheField>
    <cacheField name="Expenses" numFmtId="0">
      <sharedItems/>
    </cacheField>
    <cacheField name="Category" numFmtId="0">
      <sharedItems/>
    </cacheField>
    <cacheField name="Sub-Category" numFmtId="0">
      <sharedItems/>
    </cacheField>
    <cacheField name="Actual Expense" numFmtId="44">
      <sharedItems containsString="0" containsBlank="1" containsNumber="1" minValue="-67.41" maxValue="5000"/>
    </cacheField>
    <cacheField name="Actual Income" numFmtId="0">
      <sharedItems containsString="0" containsBlank="1" containsNumber="1" minValue="1.23" maxValue="2454.2600000000002"/>
    </cacheField>
    <cacheField name="Balance" numFmtId="44">
      <sharedItems containsSemiMixedTypes="0" containsString="0" containsNumber="1" minValue="-13367.307499999999" maxValue="1788.83"/>
    </cacheField>
    <cacheField name="Saving/Investment" numFmtId="44">
      <sharedItems containsSemiMixedTypes="0" containsString="0" containsNumber="1" minValue="0" maxValue="5000"/>
    </cacheField>
    <cacheField name="Card" numFmtId="0">
      <sharedItems containsBlank="1"/>
    </cacheField>
    <cacheField name="Months" numFmtId="0" databaseField="0">
      <fieldGroup base="2">
        <rangePr groupBy="months" startDate="2021-01-01T00:00:00" endDate="2021-09-03T00:00:00"/>
        <groupItems count="14">
          <s v="&lt;1/1/2021"/>
          <s v="Jan"/>
          <s v="Feb"/>
          <s v="Mar"/>
          <s v="Apr"/>
          <s v="May"/>
          <s v="Jun"/>
          <s v="Jul"/>
          <s v="Aug"/>
          <s v="Sep"/>
          <s v="Oct"/>
          <s v="Nov"/>
          <s v="Dec"/>
          <s v="&gt;9/3/2021"/>
        </groupItems>
      </fieldGroup>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94900694444" backgroundQuery="1" createdVersion="6" refreshedVersion="6" minRefreshableVersion="3" recordCount="0" supportSubquery="1" supportAdvancedDrill="1" xr:uid="{A69C4FB6-7916-4205-8183-9D772C48DCBD}">
  <cacheSource type="external" connectionId="1"/>
  <cacheFields count="6">
    <cacheField name="[Category].[Category].[Category]" caption="Category" numFmtId="0" hierarchy="1" level="1">
      <sharedItems count="9">
        <s v="Income"/>
        <s v="Housing"/>
        <s v="Savings or Investments"/>
        <s v="Food"/>
        <s v="Transportation"/>
        <s v="Personal Care"/>
        <s v="Shopping"/>
        <s v="Entertainment"/>
        <s v="Other"/>
      </sharedItems>
    </cacheField>
    <cacheField name="[Year].[Year].[Year]" caption="Year" numFmtId="0" hierarchy="31" level="1">
      <sharedItems containsSemiMixedTypes="0" containsNonDate="0" containsString="0"/>
    </cacheField>
    <cacheField name="[Data].[Sub-Category].[Sub-Category]" caption="Sub-Category" numFmtId="0" hierarchy="3" level="1">
      <sharedItems count="23">
        <s v="Bank Profit"/>
        <s v="Investment Profit"/>
        <s v="Job"/>
        <s v="Resale"/>
        <s v="Mortgage or rent"/>
        <s v="Phone"/>
        <s v="Cryptocurrencies"/>
        <s v="Investment account"/>
        <s v="Dining out"/>
        <s v="Drink"/>
        <s v="Groceries"/>
        <s v="Car Project"/>
        <s v="Fuel"/>
        <s v="Insurance"/>
        <s v="Vehicle payment"/>
        <s v="Hair/nails"/>
        <s v="Piano lesson"/>
        <s v="Personal Care Product"/>
        <s v="Technology"/>
        <s v="Camping"/>
        <s v="Printing"/>
        <s v="Resale Fee"/>
        <s v="Shipping"/>
      </sharedItems>
    </cacheField>
    <cacheField name="[Month].[Month].[Month]" caption="Month" numFmtId="0" hierarchy="11" level="1">
      <sharedItems containsSemiMixedTypes="0" containsNonDate="0" containsString="0"/>
    </cacheField>
    <cacheField name="[Measures].[Sum of Actual Income]" caption="Sum of Actual Income" numFmtId="0" hierarchy="52" level="32767"/>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2"/>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3"/>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94901273145" backgroundQuery="1" createdVersion="6" refreshedVersion="6" minRefreshableVersion="3" recordCount="0" supportSubquery="1" supportAdvancedDrill="1" xr:uid="{3994F1F8-C302-467D-9F4D-7DF84D176400}">
  <cacheSource type="external" connectionId="1"/>
  <cacheFields count="5">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Category].[Category].[Category]" caption="Category" numFmtId="0" hierarchy="1" level="1">
      <sharedItems count="2">
        <s v="Income"/>
        <s v="Savings or Investments"/>
      </sharedItems>
    </cacheField>
    <cacheField name="[Measures].[Sum of Actual Income]" caption="Sum of Actual Income" numFmtId="0" hierarchy="52" level="32767"/>
    <cacheField name="[Measures].[Sum of Saving/Investment]" caption="Sum of Saving/Investment" numFmtId="0" hierarchy="55"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2" memberValueDatatype="5" unbalanced="0"/>
    <cacheHierarchy uniqueName="[Data].[Actual Income]" caption="Actual Income" attribute="1" defaultMemberUniqueName="[Data].[Actual Income].[All]" allUniqueName="[Data].[Actual Income].[All]" dimensionUniqueName="[Data]" displayFolder="" count="2"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2"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67154166668" backgroundQuery="1" createdVersion="3" refreshedVersion="6" minRefreshableVersion="3" recordCount="0" supportSubquery="1" supportAdvancedDrill="1" xr:uid="{1F2074EA-30E2-4444-9488-4F442D0F6E84}">
  <cacheSource type="external" connectionId="1">
    <extLst>
      <ext xmlns:x14="http://schemas.microsoft.com/office/spreadsheetml/2009/9/main" uri="{F057638F-6D5F-4e77-A914-E7F072B9BCA8}">
        <x14:sourceConnection name="ThisWorkbookDataModel"/>
      </ext>
    </extLst>
  </cacheSource>
  <cacheFields count="0"/>
  <cacheHierarchies count="55">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5216187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6717650463" backgroundQuery="1" createdVersion="6" refreshedVersion="6" minRefreshableVersion="3" recordCount="0" supportSubquery="1" supportAdvancedDrill="1" xr:uid="{23E950C5-F266-4805-A983-FAA14B8A5C2C}">
  <cacheSource type="external" connectionId="1"/>
  <cacheFields count="2">
    <cacheField name="[Category].[Category].[Category]" caption="Category" numFmtId="0" hierarchy="1" level="1">
      <sharedItems count="15">
        <s v="Income"/>
        <s v="Housing"/>
        <s v="Savings or Investments"/>
        <s v="Food"/>
        <s v="Transportation"/>
        <s v="Personal Care"/>
        <s v="Shopping"/>
        <s v="Entertainment"/>
        <s v="Insurance"/>
        <s v="Gifts and Donations"/>
        <s v="Legal"/>
        <s v="Taxes"/>
        <s v="Pets"/>
        <s v="Loans"/>
        <s v="Other"/>
      </sharedItems>
    </cacheField>
    <cacheField name="[Month].[Month].[Month]" caption="Month" numFmtId="0" hierarchy="11" level="1">
      <sharedItems containsBlank="1" count="13">
        <s v="Jan"/>
        <s v="Feb"/>
        <s v="Mar"/>
        <s v="Apr"/>
        <s v="May"/>
        <s v="Jun"/>
        <s v="Jul"/>
        <s v="Aug"/>
        <s v="Sep"/>
        <s v="Oct"/>
        <s v="Nov"/>
        <s v="Dec"/>
        <m/>
      </sharedItems>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0"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67177546299" backgroundQuery="1" createdVersion="6" refreshedVersion="6" minRefreshableVersion="3" recordCount="0" supportSubquery="1" supportAdvancedDrill="1" xr:uid="{5AA245E8-14BC-4639-AB65-C72429F30418}">
  <cacheSource type="external" connectionId="1"/>
  <cacheFields count="3">
    <cacheField name="[Category].[Category].[Category]" caption="Category" numFmtId="0" hierarchy="1" level="1">
      <sharedItems count="14">
        <s v="Housing"/>
        <s v="Savings or Investments"/>
        <s v="Food"/>
        <s v="Transportation"/>
        <s v="Personal Care"/>
        <s v="Shopping"/>
        <s v="Entertainment"/>
        <s v="Insurance"/>
        <s v="Gifts and Donations"/>
        <s v="Legal"/>
        <s v="Taxes"/>
        <s v="Pets"/>
        <s v="Loans"/>
        <s v="Other"/>
      </sharedItems>
    </cacheField>
    <cacheField name="[Month].[Month].[Month]" caption="Month" numFmtId="0" hierarchy="11" level="1">
      <sharedItems count="10">
        <s v="Jan"/>
        <s v="Feb"/>
        <s v="Mar"/>
        <s v="Apr"/>
        <s v="May"/>
        <s v="Jun"/>
        <s v="Jul"/>
        <s v="Aug"/>
        <s v="Sep"/>
        <s v="Oct"/>
      </sharedItems>
    </cacheField>
    <cacheField name="[Measures].[Sum of Plan Budget]" caption="Sum of Plan Budget" numFmtId="0" hierarchy="51"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0"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67170949072" backgroundQuery="1" createdVersion="6" refreshedVersion="6" minRefreshableVersion="3" recordCount="0" supportSubquery="1" supportAdvancedDrill="1" xr:uid="{5F4BCBA2-0C72-4735-BBA3-26A2DFFBE335}">
  <cacheSource type="external" connectionId="1"/>
  <cacheFields count="5">
    <cacheField name="[Year].[Year].[Year]" caption="Year" numFmtId="0" hierarchy="31"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Year].[Year].&amp;[2021]"/>
          </x15:cachedUniqueNames>
        </ext>
      </extLst>
    </cacheField>
    <cacheField name="[Month].[Month].[Month]" caption="Month" numFmtId="0" hierarchy="11" level="1">
      <sharedItems count="10">
        <s v="Jan"/>
        <s v="Feb"/>
        <s v="Mar"/>
        <s v="Apr"/>
        <s v="May"/>
        <s v="Jun"/>
        <s v="Jul"/>
        <s v="Aug"/>
        <s v="Sep"/>
        <s v="Oct"/>
      </sharedItems>
    </cacheField>
    <cacheField name="[Measures].[Sum of Plan Budget]" caption="Sum of Plan Budget" numFmtId="0" hierarchy="51" level="32767"/>
    <cacheField name="[Measures].[Sum of Actual Expense]" caption="Sum of Actual Expense" numFmtId="0" hierarchy="54" level="32767"/>
    <cacheField name="[Category].[Category].[Category]" caption="Category" numFmtId="0" hierarchy="1" level="1">
      <sharedItems containsSemiMixedTypes="0" containsNonDate="0" containsString="0"/>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4"/>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94898032404" backgroundQuery="1" createdVersion="6" refreshedVersion="6" minRefreshableVersion="3" recordCount="0" supportSubquery="1" supportAdvancedDrill="1" xr:uid="{54263B58-7649-49FE-A66E-5BAAA8F33D3E}">
  <cacheSource type="external" connectionId="1"/>
  <cacheFields count="6">
    <cacheField name="[Category].[Category].[Category]" caption="Category" numFmtId="0" hierarchy="1" level="1">
      <sharedItems count="11">
        <s v="Housing"/>
        <s v="Savings or Investments"/>
        <s v="Food"/>
        <s v="Transportation"/>
        <s v="Personal Care"/>
        <s v="Shopping"/>
        <s v="Entertainment"/>
        <s v="Pets" u="1"/>
        <s v="Gifts and Donations" u="1"/>
        <s v="Other" u="1"/>
        <s v="Insurance" u="1"/>
      </sharedItems>
    </cacheField>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Measures].[Sum of Plan Budget]" caption="Sum of Plan Budget" numFmtId="0" hierarchy="51" level="32767"/>
    <cacheField name="[Data].[Sub-Category].[Sub-Category]" caption="Sub-Category" numFmtId="0" hierarchy="3"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4"/>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y uniqueName="Dummy0" caption="Order" measure="1" count="0">
      <extLst>
        <ext xmlns:x14="http://schemas.microsoft.com/office/spreadsheetml/2009/9/main" uri="{8CF416AD-EC4C-4aba-99F5-12A058AE0983}">
          <x14:cacheHierarchy ignore="1"/>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94898611112" backgroundQuery="1" createdVersion="6" refreshedVersion="6" minRefreshableVersion="3" recordCount="0" supportSubquery="1" supportAdvancedDrill="1" xr:uid="{4A1C8B80-69D4-4F11-B161-FE276FC8D9A2}">
  <cacheSource type="external" connectionId="1"/>
  <cacheFields count="6">
    <cacheField name="[Category].[Category].[Category]" caption="Category" numFmtId="0" hierarchy="1" level="1">
      <sharedItems count="9">
        <s v="Income"/>
        <s v="Housing"/>
        <s v="Savings or Investments"/>
        <s v="Food"/>
        <s v="Transportation"/>
        <s v="Personal Care"/>
        <s v="Shopping"/>
        <s v="Entertainment"/>
        <s v="Other"/>
      </sharedItems>
    </cacheField>
    <cacheField name="[Data].[Sub-Category].[Sub-Category]" caption="Sub-Category" numFmtId="0" hierarchy="3" level="1">
      <sharedItems count="23">
        <s v="Bank Profit"/>
        <s v="Investment Profit"/>
        <s v="Job"/>
        <s v="Resale"/>
        <s v="Mortgage or rent"/>
        <s v="Phone"/>
        <s v="Cryptocurrencies"/>
        <s v="Investment account"/>
        <s v="Dining out"/>
        <s v="Drink"/>
        <s v="Groceries"/>
        <s v="Car Project"/>
        <s v="Fuel"/>
        <s v="Insurance"/>
        <s v="Vehicle payment"/>
        <s v="Hair/nails"/>
        <s v="Piano lesson"/>
        <s v="Personal Care Product"/>
        <s v="Technology"/>
        <s v="Camping"/>
        <s v="Printing"/>
        <s v="Resale Fee"/>
        <s v="Shipping"/>
      </sharedItems>
    </cacheField>
    <cacheField name="[Year].[Year].[Year]" caption="Year" numFmtId="0" hierarchy="31" level="1">
      <sharedItems containsSemiMixedTypes="0" containsNonDate="0" containsString="0"/>
    </cacheField>
    <cacheField name="[Measures].[Sum of Actual Income]" caption="Sum of Actual Income" numFmtId="0" hierarchy="52" level="32767"/>
    <cacheField name="[Month].[Month].[Month]" caption="Month" numFmtId="0" hierarchy="11"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1"/>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4"/>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2"/>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94899074074" backgroundQuery="1" createdVersion="6" refreshedVersion="6" minRefreshableVersion="3" recordCount="0" supportSubquery="1" supportAdvancedDrill="1" xr:uid="{2A3EF382-0834-4001-9CED-788C19EE97ED}">
  <cacheSource type="external" connectionId="1"/>
  <cacheFields count="5">
    <cacheField name="[Year].[Year].[Year]" caption="Year" numFmtId="0" hierarchy="31" level="1">
      <sharedItems containsSemiMixedTypes="0" containsNonDate="0" containsString="0"/>
    </cacheField>
    <cacheField name="[Category].[Category].[Category]" caption="Category" numFmtId="0" hierarchy="1" level="1">
      <sharedItems count="8">
        <s v="Housing"/>
        <s v="Savings or Investments"/>
        <s v="Food"/>
        <s v="Transportation"/>
        <s v="Personal Care"/>
        <s v="Shopping"/>
        <s v="Entertainment"/>
        <s v="Other"/>
      </sharedItems>
    </cacheField>
    <cacheField name="[Month].[Month].[Month]" caption="Month" numFmtId="0" hierarchy="11" level="1">
      <sharedItems containsSemiMixedTypes="0" containsNonDate="0" containsString="0"/>
    </cacheField>
    <cacheField name="[Data].[Sub-Category].[Sub-Category]" caption="Sub-Category" numFmtId="0" hierarchy="3"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3"/>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94899652775" backgroundQuery="1" createdVersion="6" refreshedVersion="6" minRefreshableVersion="3" recordCount="0" supportSubquery="1" supportAdvancedDrill="1" xr:uid="{B49B56B6-6D8F-41CA-9153-5F9E1A37B5A4}">
  <cacheSource type="external" connectionId="1"/>
  <cacheFields count="5">
    <cacheField name="[Category].[Category].[Category]" caption="Category" numFmtId="0" hierarchy="1" level="1">
      <sharedItems count="14">
        <s v="Housing"/>
        <s v="Savings or Investments"/>
        <s v="Food"/>
        <s v="Transportation"/>
        <s v="Personal Care"/>
        <s v="Shopping"/>
        <s v="Entertainment"/>
        <s v="Insurance"/>
        <s v="Gifts and Donations"/>
        <s v="Legal"/>
        <s v="Taxes"/>
        <s v="Pets"/>
        <s v="Loans"/>
        <s v="Other"/>
      </sharedItems>
    </cacheField>
    <cacheField name="[Year].[Year].[Year]" caption="Year" numFmtId="0" hierarchy="31" level="1">
      <sharedItems containsSemiMixedTypes="0" containsNonDate="0" containsString="0"/>
    </cacheField>
    <cacheField name="[Measures].[Sum of Plan Budget]" caption="Sum of Plan Budget" numFmtId="0" hierarchy="51" level="32767"/>
    <cacheField name="[Month].[Month].[Month]" caption="Month" numFmtId="0" hierarchy="11"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3"/>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45.494900115744" backgroundQuery="1" createdVersion="6" refreshedVersion="6" minRefreshableVersion="3" recordCount="0" supportSubquery="1" supportAdvancedDrill="1" xr:uid="{ADF6C9D4-D048-491B-8A47-4846BF61DCB8}">
  <cacheSource type="external" connectionId="1"/>
  <cacheFields count="6">
    <cacheField name="[Measures].[Sum of Plan Income]" caption="Sum of Plan Income" numFmtId="0" hierarchy="53" level="32767"/>
    <cacheField name="[Measures].[Sum of Plan Budget]" caption="Sum of Plan Budget" numFmtId="0" hierarchy="51" level="32767"/>
    <cacheField name="[Category].[Category].[Category]" caption="Category" numFmtId="0" hierarchy="1" level="1">
      <sharedItems count="15">
        <s v="Income"/>
        <s v="Housing"/>
        <s v="Savings or Investments"/>
        <s v="Food"/>
        <s v="Transportation"/>
        <s v="Personal Care"/>
        <s v="Shopping"/>
        <s v="Entertainment"/>
        <s v="Insurance"/>
        <s v="Gifts and Donations"/>
        <s v="Legal"/>
        <s v="Taxes"/>
        <s v="Pets"/>
        <s v="Loans"/>
        <s v="Other"/>
      </sharedItems>
    </cacheField>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4"/>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y uniqueName="Dummy0" caption="Order" measure="1" count="0">
      <extLst>
        <ext xmlns:x14="http://schemas.microsoft.com/office/spreadsheetml/2009/9/main" uri="{8CF416AD-EC4C-4aba-99F5-12A058AE0983}">
          <x14:cacheHierarchy ignore="1"/>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s v="2021"/>
    <s v="Jan"/>
    <x v="0"/>
    <s v="Honeywell paycheck"/>
    <s v="Income"/>
    <s v="Job"/>
    <m/>
    <n v="1788.83"/>
    <n v="1788.83"/>
    <n v="0"/>
    <m/>
  </r>
  <r>
    <s v="2021"/>
    <s v="Jan"/>
    <x v="1"/>
    <s v="Taco Bell"/>
    <s v="Food"/>
    <s v="Dining out"/>
    <n v="11.45"/>
    <m/>
    <n v="1777.3799999999999"/>
    <n v="0"/>
    <m/>
  </r>
  <r>
    <s v="2021"/>
    <s v="Jan"/>
    <x v="2"/>
    <s v="Coinbase - BTC"/>
    <s v="Savings or Investments"/>
    <s v="Cryptocurrencies"/>
    <n v="100"/>
    <m/>
    <n v="1677.3799999999999"/>
    <n v="100"/>
    <m/>
  </r>
  <r>
    <s v="2021"/>
    <s v="Jan"/>
    <x v="2"/>
    <s v="Coinbase - BTC"/>
    <s v="Savings or Investments"/>
    <s v="Cryptocurrencies"/>
    <n v="100"/>
    <m/>
    <n v="1577.3799999999999"/>
    <n v="100"/>
    <m/>
  </r>
  <r>
    <s v="2021"/>
    <s v="Jan"/>
    <x v="2"/>
    <s v="Coinbase - BTC"/>
    <s v="Savings or Investments"/>
    <s v="Cryptocurrencies"/>
    <n v="100"/>
    <m/>
    <n v="1477.3799999999999"/>
    <n v="100"/>
    <m/>
  </r>
  <r>
    <s v="2021"/>
    <s v="Jan"/>
    <x v="2"/>
    <s v="Friends party"/>
    <s v="Food"/>
    <s v="Dining out"/>
    <n v="5.75"/>
    <m/>
    <n v="1471.6299999999999"/>
    <n v="0"/>
    <m/>
  </r>
  <r>
    <s v="2021"/>
    <s v="Jan"/>
    <x v="2"/>
    <s v="iPhone 12 Pro"/>
    <s v="Shopping"/>
    <s v="Technology"/>
    <n v="1113.8800000000001"/>
    <m/>
    <n v="357.74999999999977"/>
    <n v="0"/>
    <m/>
  </r>
  <r>
    <s v="2021"/>
    <s v="Jan"/>
    <x v="3"/>
    <s v="Boba Island"/>
    <s v="Food"/>
    <s v="Drink"/>
    <n v="9.9600000000000009"/>
    <m/>
    <n v="347.78999999999979"/>
    <n v="0"/>
    <m/>
  </r>
  <r>
    <s v="2021"/>
    <s v="Jan"/>
    <x v="3"/>
    <s v="Fidelity"/>
    <s v="Savings or Investments"/>
    <s v="Investment account"/>
    <n v="1000"/>
    <m/>
    <n v="-652.21000000000026"/>
    <n v="1000"/>
    <m/>
  </r>
  <r>
    <s v="2021"/>
    <s v="Jan"/>
    <x v="4"/>
    <s v="Boba Island"/>
    <s v="Food"/>
    <s v="Drink"/>
    <n v="10.07"/>
    <m/>
    <n v="-662.28000000000031"/>
    <n v="0"/>
    <m/>
  </r>
  <r>
    <s v="2021"/>
    <s v="Jan"/>
    <x v="4"/>
    <s v="Fedex Office"/>
    <s v="Other"/>
    <s v="Printing"/>
    <n v="0.62"/>
    <m/>
    <n v="-662.90000000000032"/>
    <n v="0"/>
    <m/>
  </r>
  <r>
    <s v="2021"/>
    <s v="Jan"/>
    <x v="4"/>
    <s v="Downtown Parking"/>
    <s v="Transportation"/>
    <s v="Parking"/>
    <n v="8"/>
    <m/>
    <n v="-670.90000000000032"/>
    <n v="0"/>
    <m/>
  </r>
  <r>
    <s v="2021"/>
    <s v="Jan"/>
    <x v="4"/>
    <s v="Courts Order - Name change certificate"/>
    <s v="Legal"/>
    <s v="Other"/>
    <n v="32"/>
    <m/>
    <n v="-702.90000000000032"/>
    <n v="0"/>
    <m/>
  </r>
  <r>
    <s v="2021"/>
    <s v="Jan"/>
    <x v="4"/>
    <s v="Gold APMEX - 1 oz"/>
    <s v="Savings or Investments"/>
    <s v="Gold"/>
    <n v="2091.0300000000002"/>
    <m/>
    <n v="-2793.9300000000003"/>
    <n v="2091.0300000000002"/>
    <m/>
  </r>
  <r>
    <s v="2021"/>
    <s v="Jan"/>
    <x v="5"/>
    <s v="Rent"/>
    <s v="Housing"/>
    <s v="Mortgage or rent"/>
    <n v="700"/>
    <m/>
    <n v="-3493.9300000000003"/>
    <n v="0"/>
    <m/>
  </r>
  <r>
    <s v="2021"/>
    <s v="Jan"/>
    <x v="5"/>
    <s v="Sushi Choo Choo"/>
    <s v="Food"/>
    <s v="Dining out"/>
    <n v="22.55"/>
    <m/>
    <n v="-3516.4800000000005"/>
    <n v="0"/>
    <m/>
  </r>
  <r>
    <s v="2021"/>
    <s v="Jan"/>
    <x v="6"/>
    <s v="Modern Tea"/>
    <s v="Food"/>
    <s v="Drink"/>
    <n v="5.32"/>
    <m/>
    <n v="-3521.8000000000006"/>
    <n v="0"/>
    <m/>
  </r>
  <r>
    <s v="2021"/>
    <s v="Jan"/>
    <x v="7"/>
    <s v="Boba Island"/>
    <s v="Food"/>
    <s v="Drink"/>
    <n v="10.61"/>
    <m/>
    <n v="-3532.4100000000008"/>
    <n v="0"/>
    <m/>
  </r>
  <r>
    <s v="2021"/>
    <s v="Jan"/>
    <x v="7"/>
    <s v="Aldi"/>
    <s v="Food"/>
    <s v="Groceries"/>
    <n v="9.5399999999999991"/>
    <m/>
    <n v="-3541.9500000000007"/>
    <n v="0"/>
    <m/>
  </r>
  <r>
    <s v="2021"/>
    <s v="Jan"/>
    <x v="8"/>
    <s v="Friends party"/>
    <s v="Food"/>
    <s v="Dining out"/>
    <n v="30"/>
    <m/>
    <n v="-3571.9500000000007"/>
    <n v="0"/>
    <m/>
  </r>
  <r>
    <s v="2021"/>
    <s v="Jan"/>
    <x v="8"/>
    <s v="Coinbase - BTC"/>
    <s v="Savings or Investments"/>
    <s v="Cryptocurrencies"/>
    <n v="100"/>
    <m/>
    <n v="-3671.9500000000007"/>
    <n v="100"/>
    <m/>
  </r>
  <r>
    <s v="2021"/>
    <s v="Jan"/>
    <x v="8"/>
    <s v="Pho Dien"/>
    <s v="Food"/>
    <s v="Dining out"/>
    <n v="10"/>
    <m/>
    <n v="-3681.9500000000007"/>
    <n v="0"/>
    <m/>
  </r>
  <r>
    <s v="2021"/>
    <s v="Jan"/>
    <x v="8"/>
    <s v="Chase Credit Crd Amazon"/>
    <s v="Shopping"/>
    <s v="Amazon"/>
    <n v="105.77"/>
    <m/>
    <n v="-3787.7200000000007"/>
    <n v="0"/>
    <m/>
  </r>
  <r>
    <s v="2021"/>
    <s v="Jan"/>
    <x v="9"/>
    <s v="Gas"/>
    <s v="Transportation"/>
    <s v="Fuel"/>
    <n v="26.41"/>
    <m/>
    <n v="-3814.1300000000006"/>
    <n v="0"/>
    <m/>
  </r>
  <r>
    <s v="2021"/>
    <s v="Jan"/>
    <x v="10"/>
    <s v="Fidelity"/>
    <s v="Savings or Investments"/>
    <s v="Retirement account"/>
    <n v="500"/>
    <m/>
    <n v="-4314.130000000001"/>
    <n v="500"/>
    <m/>
  </r>
  <r>
    <s v="2021"/>
    <s v="Jan"/>
    <x v="10"/>
    <s v="McDonald's"/>
    <s v="Food"/>
    <s v="Dining out"/>
    <n v="11.7"/>
    <m/>
    <n v="-4325.8300000000008"/>
    <n v="0"/>
    <m/>
  </r>
  <r>
    <s v="2021"/>
    <s v="Jan"/>
    <x v="10"/>
    <s v="Honeywell paycheck"/>
    <s v="Income"/>
    <s v="Job"/>
    <m/>
    <n v="1782.84"/>
    <n v="-2542.9900000000007"/>
    <n v="0"/>
    <m/>
  </r>
  <r>
    <s v="2021"/>
    <s v="Jan"/>
    <x v="11"/>
    <s v="Boba Island"/>
    <s v="Food"/>
    <s v="Drink"/>
    <n v="10.77"/>
    <m/>
    <n v="-2553.7600000000007"/>
    <n v="0"/>
    <m/>
  </r>
  <r>
    <s v="2021"/>
    <s v="Jan"/>
    <x v="12"/>
    <s v="Ramen"/>
    <s v="Food"/>
    <s v="Dining out"/>
    <n v="25.25"/>
    <m/>
    <n v="-2579.0100000000007"/>
    <n v="0"/>
    <m/>
  </r>
  <r>
    <s v="2021"/>
    <s v="Jan"/>
    <x v="13"/>
    <s v="Coinbase - BTC"/>
    <s v="Savings or Investments"/>
    <s v="Cryptocurrencies"/>
    <n v="400"/>
    <m/>
    <n v="-2979.0100000000007"/>
    <n v="400"/>
    <m/>
  </r>
  <r>
    <s v="2021"/>
    <s v="Jan"/>
    <x v="13"/>
    <s v="Boba Island"/>
    <s v="Food"/>
    <s v="Drink"/>
    <n v="8.66"/>
    <m/>
    <n v="-2987.6700000000005"/>
    <n v="0"/>
    <m/>
  </r>
  <r>
    <s v="2021"/>
    <s v="Jan"/>
    <x v="14"/>
    <s v="Chevron Gas"/>
    <s v="Transportation"/>
    <s v="Fuel"/>
    <n v="25.83"/>
    <m/>
    <n v="-3013.5000000000005"/>
    <n v="0"/>
    <m/>
  </r>
  <r>
    <s v="2021"/>
    <s v="Jan"/>
    <x v="15"/>
    <s v="Boba Island"/>
    <s v="Food"/>
    <s v="Drink"/>
    <n v="10.61"/>
    <m/>
    <n v="-3024.1100000000006"/>
    <n v="0"/>
    <m/>
  </r>
  <r>
    <s v="2021"/>
    <s v="Jan"/>
    <x v="16"/>
    <s v="Party nha Phuong"/>
    <s v="Food"/>
    <s v="Dining out"/>
    <n v="25"/>
    <m/>
    <n v="-3049.1100000000006"/>
    <n v="0"/>
    <m/>
  </r>
  <r>
    <s v="2021"/>
    <s v="Jan"/>
    <x v="16"/>
    <s v="Handam BBQ"/>
    <s v="Food"/>
    <s v="Dining out"/>
    <n v="34.229999999999997"/>
    <m/>
    <n v="-3083.3400000000006"/>
    <n v="0"/>
    <m/>
  </r>
  <r>
    <s v="2021"/>
    <s v="Jan"/>
    <x v="17"/>
    <s v="Coinbase - ETH"/>
    <s v="Savings or Investments"/>
    <s v="Cryptocurrencies"/>
    <n v="1395.06"/>
    <m/>
    <n v="-4478.4000000000005"/>
    <n v="1395.06"/>
    <m/>
  </r>
  <r>
    <s v="2021"/>
    <s v="Jan"/>
    <x v="18"/>
    <s v="Boba Island"/>
    <s v="Food"/>
    <s v="Drink"/>
    <n v="8.7100000000000009"/>
    <m/>
    <n v="-4487.1100000000006"/>
    <n v="0"/>
    <m/>
  </r>
  <r>
    <s v="2021"/>
    <s v="Jan"/>
    <x v="18"/>
    <s v="Fidelity"/>
    <s v="Savings or Investments"/>
    <s v="Investment account"/>
    <n v="500"/>
    <m/>
    <n v="-4987.1100000000006"/>
    <n v="500"/>
    <m/>
  </r>
  <r>
    <s v="2021"/>
    <s v="Jan"/>
    <x v="19"/>
    <s v="Walmart"/>
    <s v="Food"/>
    <s v="Groceries"/>
    <n v="57.99"/>
    <m/>
    <n v="-5045.1000000000004"/>
    <n v="0"/>
    <m/>
  </r>
  <r>
    <s v="2021"/>
    <s v="Jan"/>
    <x v="19"/>
    <s v="Honeywell paycheck"/>
    <s v="Income"/>
    <s v="Job"/>
    <m/>
    <n v="1782.84"/>
    <n v="-3262.26"/>
    <n v="0"/>
    <m/>
  </r>
  <r>
    <s v="2021"/>
    <s v="Jan"/>
    <x v="20"/>
    <s v="Boba Island"/>
    <s v="Food"/>
    <s v="Drink"/>
    <n v="9.85"/>
    <m/>
    <n v="-3272.11"/>
    <n v="0"/>
    <m/>
  </r>
  <r>
    <s v="2021"/>
    <s v="Feb"/>
    <x v="21"/>
    <s v="Robinhood Funds"/>
    <s v="Savings or Investments"/>
    <s v="Cryptocurrencies"/>
    <n v="200"/>
    <m/>
    <n v="-3472.11"/>
    <n v="200"/>
    <m/>
  </r>
  <r>
    <s v="2021"/>
    <s v="Feb"/>
    <x v="21"/>
    <s v="Rent"/>
    <s v="Housing"/>
    <s v="Mortgage or rent"/>
    <n v="700"/>
    <m/>
    <n v="-4172.1100000000006"/>
    <n v="0"/>
    <m/>
  </r>
  <r>
    <s v="2021"/>
    <s v="Feb"/>
    <x v="21"/>
    <s v="Apple Card Payment"/>
    <s v="Shopping"/>
    <s v="Other"/>
    <n v="40"/>
    <m/>
    <n v="-4212.1100000000006"/>
    <n v="0"/>
    <m/>
  </r>
  <r>
    <s v="2021"/>
    <s v="Feb"/>
    <x v="22"/>
    <s v="Coinbase - ETH"/>
    <s v="Savings or Investments"/>
    <s v="Cryptocurrencies"/>
    <n v="150"/>
    <m/>
    <n v="-4362.1100000000006"/>
    <n v="150"/>
    <m/>
  </r>
  <r>
    <s v="2021"/>
    <s v="Feb"/>
    <x v="23"/>
    <s v="Boba Island"/>
    <s v="Food"/>
    <s v="Drink"/>
    <n v="8.7100000000000009"/>
    <m/>
    <n v="-4370.8200000000006"/>
    <n v="0"/>
    <m/>
  </r>
  <r>
    <s v="2021"/>
    <s v="Feb"/>
    <x v="23"/>
    <s v="Sushi Choo Choo"/>
    <s v="Food"/>
    <s v="Dining out"/>
    <n v="20.6"/>
    <m/>
    <n v="-4391.420000000001"/>
    <n v="0"/>
    <m/>
  </r>
  <r>
    <s v="2021"/>
    <s v="Feb"/>
    <x v="24"/>
    <s v="Tea Top"/>
    <s v="Food"/>
    <s v="Drink"/>
    <n v="10.52"/>
    <m/>
    <n v="-4401.9400000000014"/>
    <n v="0"/>
    <m/>
  </r>
  <r>
    <s v="2021"/>
    <s v="Feb"/>
    <x v="25"/>
    <s v="Fidelity"/>
    <s v="Savings or Investments"/>
    <s v="Retirement account"/>
    <n v="500"/>
    <m/>
    <n v="-4901.9400000000014"/>
    <n v="500"/>
    <m/>
  </r>
  <r>
    <s v="2021"/>
    <s v="Feb"/>
    <x v="25"/>
    <s v="Boba Island"/>
    <s v="Food"/>
    <s v="Drink"/>
    <n v="8.98"/>
    <m/>
    <n v="-4910.920000000001"/>
    <n v="0"/>
    <m/>
  </r>
  <r>
    <s v="2021"/>
    <s v="Feb"/>
    <x v="25"/>
    <s v="Ramen"/>
    <s v="Food"/>
    <s v="Dining out"/>
    <n v="14"/>
    <m/>
    <n v="-4924.920000000001"/>
    <n v="0"/>
    <m/>
  </r>
  <r>
    <s v="2021"/>
    <s v="Feb"/>
    <x v="26"/>
    <s v="Boba Island"/>
    <s v="Food"/>
    <s v="Drink"/>
    <n v="8.7100000000000009"/>
    <m/>
    <n v="-4933.630000000001"/>
    <n v="0"/>
    <m/>
  </r>
  <r>
    <s v="2021"/>
    <s v="Feb"/>
    <x v="26"/>
    <s v="Boba Island"/>
    <s v="Food"/>
    <s v="Drink"/>
    <n v="10.61"/>
    <m/>
    <n v="-4944.2400000000007"/>
    <n v="0"/>
    <m/>
  </r>
  <r>
    <s v="2021"/>
    <s v="Feb"/>
    <x v="26"/>
    <s v="Rosary Dental"/>
    <s v="Insurance"/>
    <s v="Health"/>
    <n v="25"/>
    <m/>
    <n v="-4969.2400000000007"/>
    <n v="0"/>
    <m/>
  </r>
  <r>
    <s v="2021"/>
    <s v="Feb"/>
    <x v="26"/>
    <s v="Coinbase - ETH"/>
    <s v="Savings or Investments"/>
    <s v="Cryptocurrencies"/>
    <n v="150"/>
    <m/>
    <n v="-5119.2400000000007"/>
    <n v="150"/>
    <m/>
  </r>
  <r>
    <s v="2021"/>
    <s v="Feb"/>
    <x v="27"/>
    <s v="Coinbase - BTC"/>
    <s v="Savings or Investments"/>
    <s v="Cryptocurrencies"/>
    <n v="150"/>
    <m/>
    <n v="-5269.2400000000007"/>
    <n v="150"/>
    <m/>
  </r>
  <r>
    <s v="2021"/>
    <s v="Feb"/>
    <x v="27"/>
    <s v="Chevron Gas"/>
    <s v="Transportation"/>
    <s v="Fuel"/>
    <n v="28.27"/>
    <m/>
    <n v="-5297.5100000000011"/>
    <n v="0"/>
    <m/>
  </r>
  <r>
    <s v="2021"/>
    <s v="Feb"/>
    <x v="27"/>
    <s v="Chase Credit Crd Amazon (minus Mom's part)"/>
    <s v="Shopping"/>
    <s v="Amazon"/>
    <n v="29.33"/>
    <m/>
    <n v="-5326.8400000000011"/>
    <n v="0"/>
    <m/>
  </r>
  <r>
    <s v="2021"/>
    <s v="Feb"/>
    <x v="28"/>
    <s v="Handam BBQ"/>
    <s v="Food"/>
    <s v="Dining out"/>
    <n v="34.630000000000003"/>
    <m/>
    <n v="-5361.4700000000012"/>
    <n v="0"/>
    <m/>
  </r>
  <r>
    <s v="2021"/>
    <s v="Feb"/>
    <x v="28"/>
    <s v="Aldi"/>
    <s v="Food"/>
    <s v="Groceries"/>
    <n v="7.98"/>
    <m/>
    <n v="-5369.4500000000007"/>
    <n v="0"/>
    <m/>
  </r>
  <r>
    <s v="2021"/>
    <s v="Feb"/>
    <x v="29"/>
    <s v="Tet Lixi for a Ny"/>
    <s v="Gifts and Donations"/>
    <s v="Family"/>
    <n v="50"/>
    <m/>
    <n v="-5419.4500000000007"/>
    <n v="0"/>
    <m/>
  </r>
  <r>
    <s v="2021"/>
    <s v="Feb"/>
    <x v="29"/>
    <s v="Boba Island"/>
    <s v="Food"/>
    <s v="Drink"/>
    <n v="9.42"/>
    <m/>
    <n v="-5428.8700000000008"/>
    <n v="0"/>
    <m/>
  </r>
  <r>
    <s v="2021"/>
    <s v="Feb"/>
    <x v="29"/>
    <s v="Honeywell paycheck"/>
    <s v="Income"/>
    <s v="Job"/>
    <m/>
    <n v="1782.83"/>
    <n v="-3646.0400000000009"/>
    <n v="0"/>
    <m/>
  </r>
  <r>
    <s v="2021"/>
    <s v="Feb"/>
    <x v="30"/>
    <s v="Walmart"/>
    <s v="Pets"/>
    <s v="Pet Food"/>
    <n v="12.75"/>
    <m/>
    <n v="-3658.7900000000009"/>
    <n v="0"/>
    <m/>
  </r>
  <r>
    <s v="2021"/>
    <s v="Feb"/>
    <x v="31"/>
    <s v="Yumcha"/>
    <s v="Food"/>
    <s v="Drink"/>
    <n v="12.01"/>
    <m/>
    <n v="-3670.8000000000011"/>
    <n v="0"/>
    <m/>
  </r>
  <r>
    <s v="2021"/>
    <s v="Feb"/>
    <x v="31"/>
    <s v="Yumcha"/>
    <s v="Food"/>
    <s v="Drink"/>
    <n v="18.010000000000002"/>
    <m/>
    <n v="-3688.8100000000013"/>
    <n v="0"/>
    <m/>
  </r>
  <r>
    <s v="2021"/>
    <s v="Feb"/>
    <x v="32"/>
    <s v="Coinbase - ETH"/>
    <s v="Savings or Investments"/>
    <s v="Cryptocurrencies"/>
    <n v="150"/>
    <m/>
    <n v="-3838.8100000000013"/>
    <n v="150"/>
    <m/>
  </r>
  <r>
    <s v="2021"/>
    <s v="Feb"/>
    <x v="32"/>
    <s v="Coinbase - BTC"/>
    <s v="Savings or Investments"/>
    <s v="Cryptocurrencies"/>
    <n v="150"/>
    <m/>
    <n v="-3988.8100000000013"/>
    <n v="150"/>
    <m/>
  </r>
  <r>
    <s v="2021"/>
    <s v="Feb"/>
    <x v="32"/>
    <s v="Star Snow Ice"/>
    <s v="Food"/>
    <s v="Drink"/>
    <n v="6"/>
    <m/>
    <n v="-3994.8100000000013"/>
    <n v="0"/>
    <m/>
  </r>
  <r>
    <s v="2021"/>
    <s v="Feb"/>
    <x v="33"/>
    <s v="Boba Island"/>
    <s v="Food"/>
    <s v="Drink"/>
    <n v="10.39"/>
    <m/>
    <n v="-4005.2000000000012"/>
    <n v="0"/>
    <m/>
  </r>
  <r>
    <s v="2021"/>
    <s v="Feb"/>
    <x v="34"/>
    <s v="Aldi"/>
    <s v="Food"/>
    <s v="Groceries"/>
    <n v="13.09"/>
    <m/>
    <n v="-4018.2900000000013"/>
    <n v="0"/>
    <m/>
  </r>
  <r>
    <s v="2021"/>
    <s v="Feb"/>
    <x v="35"/>
    <s v="ExxonMobil"/>
    <s v="Transportation"/>
    <s v="Fuel"/>
    <n v="26.33"/>
    <m/>
    <n v="-4044.6200000000013"/>
    <n v="0"/>
    <m/>
  </r>
  <r>
    <s v="2021"/>
    <s v="Feb"/>
    <x v="35"/>
    <s v="Beautiful Life Hair Salon"/>
    <s v="Personal Care"/>
    <s v="Hair/nails"/>
    <n v="53"/>
    <m/>
    <n v="-4097.6200000000008"/>
    <n v="0"/>
    <m/>
  </r>
  <r>
    <s v="2021"/>
    <s v="Feb"/>
    <x v="36"/>
    <s v="Boba Island"/>
    <s v="Food"/>
    <s v="Drink"/>
    <n v="21.11"/>
    <m/>
    <n v="-4118.7300000000005"/>
    <n v="0"/>
    <m/>
  </r>
  <r>
    <s v="2021"/>
    <s v="Feb"/>
    <x v="36"/>
    <s v="Coinbase - ETH"/>
    <s v="Savings or Investments"/>
    <s v="Cryptocurrencies"/>
    <n v="150"/>
    <m/>
    <n v="-4268.7300000000005"/>
    <n v="150"/>
    <m/>
  </r>
  <r>
    <s v="2021"/>
    <s v="Feb"/>
    <x v="37"/>
    <s v="Kungfu milktea"/>
    <s v="Food"/>
    <s v="Drink"/>
    <n v="5"/>
    <m/>
    <n v="-4273.7300000000005"/>
    <n v="0"/>
    <m/>
  </r>
  <r>
    <s v="2021"/>
    <s v="Feb"/>
    <x v="37"/>
    <s v="Party nha Phuong"/>
    <s v="Food"/>
    <s v="Dining out"/>
    <n v="23"/>
    <m/>
    <n v="-4296.7300000000005"/>
    <n v="0"/>
    <m/>
  </r>
  <r>
    <s v="2021"/>
    <s v="Feb"/>
    <x v="38"/>
    <s v="Coinbase - BTC"/>
    <s v="Savings or Investments"/>
    <s v="Cryptocurrencies"/>
    <n v="150"/>
    <m/>
    <n v="-4446.7300000000005"/>
    <n v="150"/>
    <m/>
  </r>
  <r>
    <s v="2021"/>
    <s v="Feb"/>
    <x v="39"/>
    <s v="Boba Island"/>
    <s v="Food"/>
    <s v="Drink"/>
    <n v="5.74"/>
    <m/>
    <n v="-4452.47"/>
    <n v="0"/>
    <m/>
  </r>
  <r>
    <s v="2021"/>
    <s v="Feb"/>
    <x v="39"/>
    <s v="Honeywell paycheck"/>
    <s v="Income"/>
    <s v="Job"/>
    <m/>
    <n v="1862.45"/>
    <n v="-2590.0200000000004"/>
    <n v="0"/>
    <m/>
  </r>
  <r>
    <s v="2021"/>
    <s v="Feb"/>
    <x v="40"/>
    <s v="Fidelity"/>
    <s v="Savings or Investments"/>
    <s v="Investment account"/>
    <n v="500"/>
    <m/>
    <n v="-3090.0200000000004"/>
    <n v="500"/>
    <m/>
  </r>
  <r>
    <s v="2021"/>
    <s v="Mar"/>
    <x v="41"/>
    <s v="Boba Island"/>
    <s v="Food"/>
    <s v="Drink"/>
    <n v="10.07"/>
    <m/>
    <n v="-3100.0900000000006"/>
    <n v="0"/>
    <m/>
  </r>
  <r>
    <s v="2021"/>
    <s v="Mar"/>
    <x v="41"/>
    <s v="Venmo - Piano"/>
    <s v="Personal Care"/>
    <s v="Piano lesson"/>
    <n v="260"/>
    <m/>
    <n v="-3360.0900000000006"/>
    <n v="0"/>
    <m/>
  </r>
  <r>
    <s v="2021"/>
    <s v="Mar"/>
    <x v="41"/>
    <s v="Rent"/>
    <s v="Housing"/>
    <s v="Mortgage or rent"/>
    <n v="700"/>
    <m/>
    <n v="-4060.0900000000006"/>
    <n v="0"/>
    <m/>
  </r>
  <r>
    <s v="2021"/>
    <s v="Mar"/>
    <x v="42"/>
    <s v="Coinbase - ETH"/>
    <s v="Savings or Investments"/>
    <s v="Cryptocurrencies"/>
    <n v="150"/>
    <m/>
    <n v="-4210.09"/>
    <n v="150"/>
    <m/>
  </r>
  <r>
    <s v="2021"/>
    <s v="Mar"/>
    <x v="42"/>
    <s v="Fidelity"/>
    <s v="Savings or Investments"/>
    <s v="Investment account"/>
    <n v="500"/>
    <m/>
    <n v="-4710.09"/>
    <n v="500"/>
    <m/>
  </r>
  <r>
    <s v="2021"/>
    <s v="Mar"/>
    <x v="42"/>
    <s v="Fidelity"/>
    <s v="Savings or Investments"/>
    <s v="Retirement account"/>
    <n v="500"/>
    <m/>
    <n v="-5210.09"/>
    <n v="500"/>
    <m/>
  </r>
  <r>
    <s v="2021"/>
    <s v="Mar"/>
    <x v="42"/>
    <s v="TurboTax"/>
    <s v="Taxes"/>
    <s v="Service"/>
    <n v="74.62"/>
    <m/>
    <n v="-5284.71"/>
    <n v="0"/>
    <m/>
  </r>
  <r>
    <s v="2021"/>
    <s v="Mar"/>
    <x v="43"/>
    <s v="Coinbase - BTC"/>
    <s v="Savings or Investments"/>
    <s v="Cryptocurrencies"/>
    <n v="150"/>
    <m/>
    <n v="-5434.71"/>
    <n v="150"/>
    <m/>
  </r>
  <r>
    <s v="2021"/>
    <s v="Mar"/>
    <x v="43"/>
    <s v="Boba Island"/>
    <s v="Food"/>
    <s v="Drink"/>
    <n v="9.74"/>
    <m/>
    <n v="-5444.45"/>
    <n v="0"/>
    <m/>
  </r>
  <r>
    <s v="2021"/>
    <s v="Mar"/>
    <x v="44"/>
    <s v="Cane's Chicken"/>
    <s v="Food"/>
    <s v="Dining out"/>
    <n v="9"/>
    <m/>
    <n v="-5453.45"/>
    <n v="0"/>
    <m/>
  </r>
  <r>
    <s v="2021"/>
    <s v="Mar"/>
    <x v="45"/>
    <s v="Boba Island"/>
    <s v="Food"/>
    <s v="Drink"/>
    <n v="10.61"/>
    <m/>
    <n v="-5464.0599999999995"/>
    <n v="0"/>
    <m/>
  </r>
  <r>
    <s v="2021"/>
    <s v="Mar"/>
    <x v="45"/>
    <s v="Aldi"/>
    <s v="Food"/>
    <s v="Groceries"/>
    <n v="7.01"/>
    <m/>
    <n v="-5471.07"/>
    <n v="0"/>
    <m/>
  </r>
  <r>
    <s v="2021"/>
    <s v="Mar"/>
    <x v="45"/>
    <s v="Boba Island"/>
    <s v="Food"/>
    <s v="Drink"/>
    <n v="11"/>
    <m/>
    <n v="-5482.07"/>
    <n v="0"/>
    <m/>
  </r>
  <r>
    <s v="2021"/>
    <s v="Mar"/>
    <x v="45"/>
    <s v="Circle K"/>
    <s v="Transportation"/>
    <s v="Fuel"/>
    <n v="32.56"/>
    <m/>
    <n v="-5514.63"/>
    <n v="0"/>
    <m/>
  </r>
  <r>
    <s v="2021"/>
    <s v="Mar"/>
    <x v="45"/>
    <s v="Coinbase Profit"/>
    <s v="Income"/>
    <s v="Investment Profit"/>
    <m/>
    <n v="485.1"/>
    <n v="-5029.53"/>
    <n v="0"/>
    <m/>
  </r>
  <r>
    <s v="2021"/>
    <s v="Mar"/>
    <x v="46"/>
    <s v="Coinbase"/>
    <s v="Savings or Investments"/>
    <s v="Cryptocurrencies"/>
    <n v="150"/>
    <m/>
    <n v="-5179.53"/>
    <n v="150"/>
    <m/>
  </r>
  <r>
    <s v="2021"/>
    <s v="Mar"/>
    <x v="47"/>
    <s v="Boba Island"/>
    <s v="Food"/>
    <s v="Drink"/>
    <n v="21.11"/>
    <m/>
    <n v="-5200.6399999999994"/>
    <n v="0"/>
    <m/>
  </r>
  <r>
    <s v="2021"/>
    <s v="Mar"/>
    <x v="47"/>
    <s v="Coinbase"/>
    <s v="Savings or Investments"/>
    <s v="Cryptocurrencies"/>
    <n v="150"/>
    <m/>
    <n v="-5350.6399999999994"/>
    <n v="150"/>
    <m/>
  </r>
  <r>
    <s v="2021"/>
    <s v="Mar"/>
    <x v="48"/>
    <s v="McDonald's"/>
    <s v="Food"/>
    <s v="Dining out"/>
    <n v="10.37"/>
    <m/>
    <n v="-5361.0099999999993"/>
    <n v="0"/>
    <m/>
  </r>
  <r>
    <s v="2021"/>
    <s v="Mar"/>
    <x v="48"/>
    <s v="Honeywell paycheck"/>
    <s v="Income"/>
    <s v="Job"/>
    <m/>
    <n v="1862.44"/>
    <n v="-3498.5699999999993"/>
    <n v="0"/>
    <m/>
  </r>
  <r>
    <s v="2021"/>
    <s v="Mar"/>
    <x v="49"/>
    <s v="Feng Cha"/>
    <s v="Food"/>
    <s v="Drink"/>
    <n v="5.6"/>
    <m/>
    <n v="-3504.1699999999992"/>
    <n v="0"/>
    <m/>
  </r>
  <r>
    <s v="2021"/>
    <s v="Mar"/>
    <x v="50"/>
    <s v="Feng Cha"/>
    <s v="Food"/>
    <s v="Drink"/>
    <n v="6.84"/>
    <m/>
    <n v="-3511.0099999999993"/>
    <n v="0"/>
    <m/>
  </r>
  <r>
    <s v="2021"/>
    <s v="Mar"/>
    <x v="50"/>
    <s v="Boba Island"/>
    <s v="Food"/>
    <s v="Drink"/>
    <n v="21"/>
    <m/>
    <n v="-3532.0099999999993"/>
    <n v="0"/>
    <m/>
  </r>
  <r>
    <s v="2021"/>
    <s v="Mar"/>
    <x v="51"/>
    <s v="Lims Chicken"/>
    <s v="Food"/>
    <s v="Dining out"/>
    <n v="35.21"/>
    <m/>
    <n v="-3567.2199999999993"/>
    <n v="0"/>
    <m/>
  </r>
  <r>
    <s v="2021"/>
    <s v="Mar"/>
    <x v="51"/>
    <s v="Coinbase"/>
    <s v="Savings or Investments"/>
    <s v="Cryptocurrencies"/>
    <n v="150"/>
    <m/>
    <n v="-3717.2199999999993"/>
    <n v="150"/>
    <m/>
  </r>
  <r>
    <s v="2021"/>
    <s v="Mar"/>
    <x v="52"/>
    <s v="Coinbase"/>
    <s v="Savings or Investments"/>
    <s v="Cryptocurrencies"/>
    <n v="150"/>
    <m/>
    <n v="-3867.2199999999993"/>
    <n v="150"/>
    <m/>
  </r>
  <r>
    <s v="2021"/>
    <s v="Mar"/>
    <x v="52"/>
    <s v="Fidelity"/>
    <s v="Savings or Investments"/>
    <s v="Investment account"/>
    <n v="500"/>
    <m/>
    <n v="-4367.2199999999993"/>
    <n v="500"/>
    <m/>
  </r>
  <r>
    <s v="2021"/>
    <s v="Mar"/>
    <x v="52"/>
    <s v="Gongcha"/>
    <s v="Food"/>
    <s v="Drink"/>
    <n v="5.68"/>
    <m/>
    <n v="-4372.8999999999996"/>
    <n v="0"/>
    <m/>
  </r>
  <r>
    <s v="2021"/>
    <s v="Mar"/>
    <x v="52"/>
    <s v="Boba Island"/>
    <s v="Food"/>
    <s v="Drink"/>
    <n v="11.11"/>
    <m/>
    <n v="-4384.0099999999993"/>
    <n v="0"/>
    <m/>
  </r>
  <r>
    <s v="2021"/>
    <s v="Mar"/>
    <x v="53"/>
    <s v="Raising Cane Chicken"/>
    <s v="Food"/>
    <s v="Dining out"/>
    <n v="9"/>
    <m/>
    <n v="-4393.0099999999993"/>
    <n v="0"/>
    <m/>
  </r>
  <r>
    <s v="2021"/>
    <s v="Mar"/>
    <x v="53"/>
    <s v="Stimulus"/>
    <s v="Income"/>
    <s v="Stimulus"/>
    <m/>
    <n v="1400"/>
    <n v="-2993.0099999999993"/>
    <n v="0"/>
    <m/>
  </r>
  <r>
    <s v="2021"/>
    <s v="Mar"/>
    <x v="54"/>
    <s v="Boba Island"/>
    <s v="Food"/>
    <s v="Drink"/>
    <n v="13.59"/>
    <m/>
    <n v="-3006.5999999999995"/>
    <n v="0"/>
    <m/>
  </r>
  <r>
    <s v="2021"/>
    <s v="Mar"/>
    <x v="54"/>
    <s v="Fidelity"/>
    <s v="Savings or Investments"/>
    <s v="Investment account"/>
    <n v="1400"/>
    <m/>
    <n v="-4406.5999999999995"/>
    <n v="1400"/>
    <m/>
  </r>
  <r>
    <s v="2021"/>
    <s v="Mar"/>
    <x v="55"/>
    <s v="Chevron Gas"/>
    <s v="Transportation"/>
    <s v="Fuel"/>
    <n v="35.49"/>
    <m/>
    <n v="-4442.0899999999992"/>
    <n v="0"/>
    <m/>
  </r>
  <r>
    <s v="2021"/>
    <s v="Mar"/>
    <x v="55"/>
    <s v="NTB - car tire and air&amp;fuel filter"/>
    <s v="Transportation"/>
    <s v="Maintenance"/>
    <n v="204.59"/>
    <m/>
    <n v="-4646.6799999999994"/>
    <n v="0"/>
    <m/>
  </r>
  <r>
    <s v="2021"/>
    <s v="Mar"/>
    <x v="56"/>
    <s v="Raising Cane Chicken"/>
    <s v="Food"/>
    <s v="Dining out"/>
    <n v="9"/>
    <m/>
    <n v="-4655.6799999999994"/>
    <n v="0"/>
    <m/>
  </r>
  <r>
    <s v="2021"/>
    <s v="Mar"/>
    <x v="57"/>
    <s v="ATM Withdraw - Tien cho Vincent"/>
    <s v="Gifts and Donations"/>
    <s v="Family"/>
    <n v="50"/>
    <m/>
    <n v="-4705.6799999999994"/>
    <n v="0"/>
    <m/>
  </r>
  <r>
    <s v="2021"/>
    <s v="Mar"/>
    <x v="57"/>
    <s v="Go Far Awards"/>
    <s v="Income"/>
    <s v="Bank Profit"/>
    <m/>
    <n v="25"/>
    <n v="-4680.6799999999994"/>
    <n v="0"/>
    <m/>
  </r>
  <r>
    <s v="2021"/>
    <s v="Mar"/>
    <x v="58"/>
    <s v="Coinbase"/>
    <s v="Savings or Investments"/>
    <s v="Cryptocurrencies"/>
    <n v="150"/>
    <m/>
    <n v="-4830.6799999999994"/>
    <n v="150"/>
    <m/>
  </r>
  <r>
    <s v="2021"/>
    <s v="Mar"/>
    <x v="59"/>
    <s v="Coinbase"/>
    <s v="Savings or Investments"/>
    <s v="Cryptocurrencies"/>
    <n v="150"/>
    <m/>
    <n v="-4980.6799999999994"/>
    <n v="150"/>
    <m/>
  </r>
  <r>
    <s v="2021"/>
    <s v="Mar"/>
    <x v="60"/>
    <s v="Boba Island"/>
    <s v="Food"/>
    <s v="Drink"/>
    <n v="21"/>
    <m/>
    <n v="-5001.6799999999994"/>
    <n v="0"/>
    <m/>
  </r>
  <r>
    <s v="2021"/>
    <s v="Mar"/>
    <x v="60"/>
    <s v="Toyota Rav4 Deposit"/>
    <s v="Transportation"/>
    <s v="Vehicle payment"/>
    <n v="500"/>
    <m/>
    <n v="-5501.6799999999994"/>
    <n v="0"/>
    <m/>
  </r>
  <r>
    <s v="2021"/>
    <s v="Mar"/>
    <x v="60"/>
    <s v="Taco Bell"/>
    <s v="Food"/>
    <s v="Dining out"/>
    <n v="7.35"/>
    <m/>
    <n v="-5509.03"/>
    <n v="0"/>
    <m/>
  </r>
  <r>
    <s v="2021"/>
    <s v="Mar"/>
    <x v="60"/>
    <s v="Burger King"/>
    <s v="Food"/>
    <s v="Dining out"/>
    <n v="9.5"/>
    <m/>
    <n v="-5518.53"/>
    <n v="0"/>
    <m/>
  </r>
  <r>
    <s v="2021"/>
    <s v="Mar"/>
    <x v="60"/>
    <s v="Apple Card Payment"/>
    <s v="Shopping"/>
    <s v="Other"/>
    <n v="29.68"/>
    <m/>
    <n v="-5548.21"/>
    <n v="0"/>
    <m/>
  </r>
  <r>
    <s v="2021"/>
    <s v="Mar"/>
    <x v="61"/>
    <s v="ATM Withdraw - Tien cho ma Hai"/>
    <s v="Gifts and Donations"/>
    <s v="Family"/>
    <n v="20"/>
    <m/>
    <n v="-5568.21"/>
    <n v="0"/>
    <m/>
  </r>
  <r>
    <s v="2021"/>
    <s v="Mar"/>
    <x v="61"/>
    <s v="Starbucks"/>
    <s v="Food"/>
    <s v="Drink"/>
    <n v="5.9"/>
    <m/>
    <n v="-5574.11"/>
    <n v="0"/>
    <m/>
  </r>
  <r>
    <s v="2021"/>
    <s v="Mar"/>
    <x v="61"/>
    <s v="Honeywell paycheck"/>
    <s v="Income"/>
    <s v="Job"/>
    <m/>
    <n v="1862.45"/>
    <n v="-3711.66"/>
    <n v="0"/>
    <m/>
  </r>
  <r>
    <s v="2021"/>
    <s v="Mar"/>
    <x v="62"/>
    <s v="Walmart - Vincent"/>
    <s v="Gifts and Donations"/>
    <s v="Family"/>
    <n v="60.749899999999997"/>
    <m/>
    <n v="-3772.4098999999997"/>
    <n v="0"/>
    <m/>
  </r>
  <r>
    <s v="2021"/>
    <s v="Mar"/>
    <x v="62"/>
    <s v="Walmart"/>
    <s v="Shopping"/>
    <s v="Personal Care Product"/>
    <n v="138.2901"/>
    <m/>
    <n v="-3910.7"/>
    <n v="0"/>
    <m/>
  </r>
  <r>
    <s v="2021"/>
    <s v="Mar"/>
    <x v="63"/>
    <s v="Boba Island"/>
    <s v="Food"/>
    <s v="Drink"/>
    <n v="15.64"/>
    <m/>
    <n v="-3926.3399999999997"/>
    <n v="0"/>
    <m/>
  </r>
  <r>
    <s v="2021"/>
    <s v="Mar"/>
    <x v="63"/>
    <s v="Boba Island"/>
    <s v="Food"/>
    <s v="Drink"/>
    <n v="15.64"/>
    <m/>
    <n v="-3941.9799999999996"/>
    <n v="0"/>
    <m/>
  </r>
  <r>
    <s v="2021"/>
    <s v="Mar"/>
    <x v="63"/>
    <s v="Boba Island"/>
    <s v="Food"/>
    <s v="Drink"/>
    <n v="9.8000000000000007"/>
    <m/>
    <n v="-3951.7799999999997"/>
    <n v="0"/>
    <m/>
  </r>
  <r>
    <s v="2021"/>
    <s v="Mar"/>
    <x v="63"/>
    <s v="Slick Willie Pool"/>
    <s v="Entertainment"/>
    <s v="Other"/>
    <n v="16"/>
    <m/>
    <n v="-3967.7799999999997"/>
    <n v="0"/>
    <m/>
  </r>
  <r>
    <s v="2021"/>
    <s v="Mar"/>
    <x v="63"/>
    <s v="Chick Fil A"/>
    <s v="Food"/>
    <s v="Dining out"/>
    <n v="17.75"/>
    <m/>
    <n v="-3985.5299999999997"/>
    <n v="0"/>
    <m/>
  </r>
  <r>
    <s v="2021"/>
    <s v="Mar"/>
    <x v="64"/>
    <s v="Lims Chicken Ramen"/>
    <s v="Food"/>
    <s v="Dining out"/>
    <n v="35.21"/>
    <m/>
    <n v="-4020.74"/>
    <n v="0"/>
    <m/>
  </r>
  <r>
    <s v="2021"/>
    <s v="Mar"/>
    <x v="64"/>
    <s v="Coinbase"/>
    <s v="Savings or Investments"/>
    <s v="Cryptocurrencies"/>
    <n v="150"/>
    <m/>
    <n v="-4170.74"/>
    <n v="150"/>
    <m/>
  </r>
  <r>
    <s v="2021"/>
    <s v="Mar"/>
    <x v="65"/>
    <s v="Coinbase"/>
    <s v="Savings or Investments"/>
    <s v="Cryptocurrencies"/>
    <n v="150"/>
    <m/>
    <n v="-4320.74"/>
    <n v="150"/>
    <m/>
  </r>
  <r>
    <s v="2021"/>
    <s v="Mar"/>
    <x v="65"/>
    <s v="Zelle Nguyen Boba Island"/>
    <s v="Food"/>
    <s v="Drink"/>
    <n v="7"/>
    <m/>
    <n v="-4327.74"/>
    <n v="0"/>
    <m/>
  </r>
  <r>
    <s v="2021"/>
    <s v="Apr"/>
    <x v="66"/>
    <s v="Fidelity"/>
    <s v="Savings or Investments"/>
    <s v="Investment account"/>
    <n v="500"/>
    <m/>
    <n v="-4827.74"/>
    <n v="500"/>
    <m/>
  </r>
  <r>
    <s v="2021"/>
    <s v="Apr"/>
    <x v="66"/>
    <s v="Fidelity"/>
    <s v="Savings or Investments"/>
    <s v="Investment account"/>
    <n v="500"/>
    <m/>
    <n v="-5327.74"/>
    <n v="500"/>
    <m/>
  </r>
  <r>
    <s v="2021"/>
    <s v="Apr"/>
    <x v="66"/>
    <s v="Rent"/>
    <s v="Housing"/>
    <s v="Mortgage or rent"/>
    <n v="700"/>
    <m/>
    <n v="-6027.74"/>
    <n v="0"/>
    <m/>
  </r>
  <r>
    <s v="2021"/>
    <s v="Apr"/>
    <x v="67"/>
    <s v="Fedex Office"/>
    <s v="Other"/>
    <s v="Printing"/>
    <n v="0.3"/>
    <m/>
    <n v="-6028.04"/>
    <n v="0"/>
    <m/>
  </r>
  <r>
    <s v="2021"/>
    <s v="Apr"/>
    <x v="67"/>
    <s v="Ebay Shipping"/>
    <s v="Other"/>
    <s v="Shipping"/>
    <n v="10.44"/>
    <m/>
    <n v="-6038.48"/>
    <n v="0"/>
    <m/>
  </r>
  <r>
    <s v="2021"/>
    <s v="Apr"/>
    <x v="68"/>
    <s v="Boba Island"/>
    <s v="Food"/>
    <s v="Drink"/>
    <n v="9.85"/>
    <m/>
    <n v="-6048.33"/>
    <n v="0"/>
    <m/>
  </r>
  <r>
    <s v="2021"/>
    <s v="Apr"/>
    <x v="68"/>
    <s v="Texaco Chevron"/>
    <s v="Transportation"/>
    <s v="Fuel"/>
    <n v="33.57"/>
    <m/>
    <n v="-6081.9"/>
    <n v="0"/>
    <m/>
  </r>
  <r>
    <s v="2021"/>
    <s v="Apr"/>
    <x v="69"/>
    <s v="Star Snow Ice"/>
    <s v="Food"/>
    <s v="Drink"/>
    <n v="6.5"/>
    <m/>
    <n v="-6088.4"/>
    <n v="0"/>
    <m/>
  </r>
  <r>
    <s v="2021"/>
    <s v="Apr"/>
    <x v="69"/>
    <s v="Star Snow Ice"/>
    <s v="Food"/>
    <s v="Drink"/>
    <n v="6.5"/>
    <m/>
    <n v="-6094.9"/>
    <n v="0"/>
    <m/>
  </r>
  <r>
    <s v="2021"/>
    <s v="Apr"/>
    <x v="69"/>
    <s v="Coinbase Ethereum"/>
    <s v="Savings or Investments"/>
    <s v="Cryptocurrencies"/>
    <n v="150"/>
    <m/>
    <n v="-6244.9"/>
    <n v="150"/>
    <m/>
  </r>
  <r>
    <s v="2021"/>
    <s v="Apr"/>
    <x v="69"/>
    <s v="Piano lessons"/>
    <s v="Personal Care"/>
    <s v="Piano lesson"/>
    <n v="260"/>
    <m/>
    <n v="-6504.9"/>
    <n v="0"/>
    <m/>
  </r>
  <r>
    <s v="2021"/>
    <s v="Apr"/>
    <x v="69"/>
    <s v="Car Down Payment"/>
    <s v="Transportation"/>
    <s v="Vehicle payment"/>
    <n v="5000"/>
    <m/>
    <n v="-11504.9"/>
    <n v="0"/>
    <m/>
  </r>
  <r>
    <s v="2021"/>
    <s v="Apr"/>
    <x v="69"/>
    <s v="Gyoku Japanese BBQ"/>
    <s v="Food"/>
    <s v="Dining out"/>
    <n v="41.66"/>
    <m/>
    <n v="-11546.56"/>
    <n v="0"/>
    <m/>
  </r>
  <r>
    <s v="2021"/>
    <s v="Apr"/>
    <x v="70"/>
    <s v="Boba Island"/>
    <s v="Food"/>
    <s v="Drink"/>
    <n v="9.9600000000000009"/>
    <m/>
    <n v="-11556.519999999999"/>
    <n v="0"/>
    <m/>
  </r>
  <r>
    <s v="2021"/>
    <s v="Apr"/>
    <x v="70"/>
    <s v="Popeyes"/>
    <s v="Food"/>
    <s v="Dining out"/>
    <n v="22.21"/>
    <m/>
    <n v="-11578.729999999998"/>
    <n v="0"/>
    <m/>
  </r>
  <r>
    <s v="2021"/>
    <s v="Apr"/>
    <x v="70"/>
    <s v="Paypal Progressive Insurance"/>
    <s v="Transportation"/>
    <s v="Insurance"/>
    <n v="930"/>
    <m/>
    <n v="-12508.729999999998"/>
    <n v="0"/>
    <m/>
  </r>
  <r>
    <s v="2021"/>
    <s v="Apr"/>
    <x v="70"/>
    <s v="Paypal Shoes Sold on Ebay"/>
    <s v="Income"/>
    <s v="Resale"/>
    <m/>
    <n v="54.14"/>
    <n v="-12454.589999999998"/>
    <n v="0"/>
    <m/>
  </r>
  <r>
    <s v="2021"/>
    <s v="Apr"/>
    <x v="71"/>
    <s v="Apple Cash Back"/>
    <s v="Income"/>
    <s v="Bank Profit"/>
    <m/>
    <n v="1.23"/>
    <n v="-12453.359999999999"/>
    <n v="0"/>
    <m/>
  </r>
  <r>
    <s v="2021"/>
    <s v="Apr"/>
    <x v="72"/>
    <s v="Marshall shopping"/>
    <s v="Shopping"/>
    <s v="Technology"/>
    <n v="28.11"/>
    <m/>
    <n v="-12481.47"/>
    <n v="0"/>
    <m/>
  </r>
  <r>
    <s v="2021"/>
    <s v="Apr"/>
    <x v="72"/>
    <s v="Lowe's"/>
    <s v="Transportation"/>
    <s v="Car Project"/>
    <n v="76.56"/>
    <m/>
    <n v="-12558.029999999999"/>
    <n v="0"/>
    <m/>
  </r>
  <r>
    <s v="2021"/>
    <s v="Apr"/>
    <x v="73"/>
    <s v="Lowe's"/>
    <s v="Transportation"/>
    <s v="Car Project"/>
    <n v="4.7300000000000004"/>
    <m/>
    <n v="-12562.759999999998"/>
    <n v="0"/>
    <m/>
  </r>
  <r>
    <s v="2021"/>
    <s v="Apr"/>
    <x v="73"/>
    <s v="Home Depot"/>
    <s v="Transportation"/>
    <s v="Car Project"/>
    <n v="21.51"/>
    <m/>
    <n v="-12584.269999999999"/>
    <n v="0"/>
    <m/>
  </r>
  <r>
    <s v="2021"/>
    <s v="Apr"/>
    <x v="73"/>
    <s v="Honeywell paycheck"/>
    <s v="Income"/>
    <s v="Job"/>
    <m/>
    <n v="1932.09"/>
    <n v="-10652.179999999998"/>
    <n v="0"/>
    <m/>
  </r>
  <r>
    <s v="2021"/>
    <s v="Apr"/>
    <x v="74"/>
    <s v="Lowe's Canyon Lake"/>
    <s v="Shopping"/>
    <s v="Personal Care Product"/>
    <n v="28.12"/>
    <m/>
    <n v="-10680.3"/>
    <n v="0"/>
    <m/>
  </r>
  <r>
    <s v="2021"/>
    <s v="Apr"/>
    <x v="75"/>
    <s v="Home Depot"/>
    <s v="Transportation"/>
    <s v="Car Project"/>
    <n v="3.76"/>
    <m/>
    <n v="-10684.06"/>
    <n v="0"/>
    <m/>
  </r>
  <r>
    <s v="2021"/>
    <s v="Apr"/>
    <x v="76"/>
    <s v="KFC"/>
    <s v="Food"/>
    <s v="Dining out"/>
    <n v="16.760000000000002"/>
    <m/>
    <n v="-10700.82"/>
    <n v="0"/>
    <m/>
  </r>
  <r>
    <s v="2021"/>
    <s v="Apr"/>
    <x v="76"/>
    <s v="Home Depot"/>
    <s v="Transportation"/>
    <s v="Car Project"/>
    <n v="22.7"/>
    <m/>
    <n v="-10723.52"/>
    <n v="0"/>
    <m/>
  </r>
  <r>
    <s v="2021"/>
    <s v="Apr"/>
    <x v="77"/>
    <s v="Coinbase"/>
    <s v="Savings or Investments"/>
    <s v="Cryptocurrencies"/>
    <n v="150"/>
    <m/>
    <n v="-10873.52"/>
    <n v="150"/>
    <m/>
  </r>
  <r>
    <s v="2021"/>
    <s v="Apr"/>
    <x v="77"/>
    <s v="Canyon Lake"/>
    <s v="Entertainment"/>
    <s v="Camping"/>
    <n v="324.82"/>
    <m/>
    <n v="-11198.34"/>
    <n v="0"/>
    <m/>
  </r>
  <r>
    <s v="2021"/>
    <s v="Apr"/>
    <x v="78"/>
    <s v="Boba Island"/>
    <s v="Food"/>
    <s v="Drink"/>
    <n v="9.9600000000000009"/>
    <m/>
    <n v="-11208.3"/>
    <n v="0"/>
    <m/>
  </r>
  <r>
    <s v="2021"/>
    <s v="Apr"/>
    <x v="78"/>
    <s v="Fidelity"/>
    <s v="Savings or Investments"/>
    <s v="Investment account"/>
    <n v="400"/>
    <m/>
    <n v="-11608.3"/>
    <n v="400"/>
    <m/>
  </r>
  <r>
    <s v="2021"/>
    <s v="Apr"/>
    <x v="78"/>
    <s v="Fidelity"/>
    <s v="Savings or Investments"/>
    <s v="Investment account"/>
    <n v="400"/>
    <m/>
    <n v="-12008.3"/>
    <n v="400"/>
    <m/>
  </r>
  <r>
    <s v="2021"/>
    <s v="Apr"/>
    <x v="79"/>
    <s v="Coinbase - BTC"/>
    <s v="Savings or Investments"/>
    <s v="Cryptocurrencies"/>
    <n v="100"/>
    <m/>
    <n v="-12108.3"/>
    <n v="100"/>
    <m/>
  </r>
  <r>
    <s v="2021"/>
    <s v="Apr"/>
    <x v="79"/>
    <s v="Mint Mobile"/>
    <s v="Housing"/>
    <s v="Phone"/>
    <n v="392.01"/>
    <m/>
    <n v="-12500.31"/>
    <n v="0"/>
    <m/>
  </r>
  <r>
    <s v="2021"/>
    <s v="Apr"/>
    <x v="80"/>
    <s v="Boba Island"/>
    <s v="Food"/>
    <s v="Drink"/>
    <n v="18.940000000000001"/>
    <m/>
    <n v="-12519.25"/>
    <n v="0"/>
    <m/>
  </r>
  <r>
    <s v="2021"/>
    <s v="Apr"/>
    <x v="81"/>
    <s v="Agora"/>
    <s v="Food"/>
    <s v="Drink"/>
    <n v="11.15"/>
    <m/>
    <n v="-12530.4"/>
    <n v="0"/>
    <m/>
  </r>
  <r>
    <s v="2021"/>
    <s v="Apr"/>
    <x v="81"/>
    <s v="Toukei Ramen"/>
    <s v="Food"/>
    <s v="Dining out"/>
    <n v="18.307500000000001"/>
    <m/>
    <n v="-12548.7075"/>
    <n v="0"/>
    <m/>
  </r>
  <r>
    <s v="2021"/>
    <s v="Apr"/>
    <x v="81"/>
    <s v="ExxonMobil"/>
    <s v="Transportation"/>
    <s v="Fuel"/>
    <n v="18.829999999999998"/>
    <m/>
    <n v="-12567.5375"/>
    <n v="0"/>
    <m/>
  </r>
  <r>
    <s v="2021"/>
    <s v="Apr"/>
    <x v="82"/>
    <s v="Boba Island"/>
    <s v="Food"/>
    <s v="Drink"/>
    <n v="9.26"/>
    <m/>
    <n v="-12576.797500000001"/>
    <n v="0"/>
    <m/>
  </r>
  <r>
    <s v="2021"/>
    <s v="Apr"/>
    <x v="83"/>
    <s v="Coinbase - ETh"/>
    <s v="Savings or Investments"/>
    <s v="Cryptocurrencies"/>
    <n v="150"/>
    <m/>
    <n v="-12726.797500000001"/>
    <n v="150"/>
    <m/>
  </r>
  <r>
    <s v="2021"/>
    <s v="Apr"/>
    <x v="83"/>
    <s v="Coinbase - BTC"/>
    <s v="Savings or Investments"/>
    <s v="Cryptocurrencies"/>
    <n v="200"/>
    <m/>
    <n v="-12926.797500000001"/>
    <n v="200"/>
    <m/>
  </r>
  <r>
    <s v="2021"/>
    <s v="Apr"/>
    <x v="83"/>
    <s v="Robinhood Profit Doge"/>
    <s v="Income"/>
    <s v="Investment Profit"/>
    <m/>
    <n v="1001.45"/>
    <n v="-11925.3475"/>
    <n v="0"/>
    <m/>
  </r>
  <r>
    <s v="2021"/>
    <s v="Apr"/>
    <x v="84"/>
    <s v="Crawfish"/>
    <s v="Food"/>
    <s v="Dining out"/>
    <n v="27.5"/>
    <m/>
    <n v="-11952.8475"/>
    <n v="0"/>
    <m/>
  </r>
  <r>
    <s v="2021"/>
    <s v="Apr"/>
    <x v="85"/>
    <s v="Chick Fil A"/>
    <s v="Food"/>
    <s v="Dining out"/>
    <n v="9.23"/>
    <m/>
    <n v="-11962.077499999999"/>
    <n v="0"/>
    <m/>
  </r>
  <r>
    <s v="2021"/>
    <s v="Apr"/>
    <x v="85"/>
    <s v="Walmart"/>
    <s v="Food"/>
    <s v="Groceries"/>
    <n v="38.97"/>
    <m/>
    <n v="-12001.047499999999"/>
    <n v="0"/>
    <m/>
  </r>
  <r>
    <s v="2021"/>
    <s v="Apr"/>
    <x v="86"/>
    <s v="Boba Island"/>
    <s v="Food"/>
    <s v="Drink"/>
    <n v="10.72"/>
    <m/>
    <n v="-12011.767499999998"/>
    <n v="0"/>
    <m/>
  </r>
  <r>
    <s v="2021"/>
    <s v="Apr"/>
    <x v="86"/>
    <s v="Honeywell paycheck"/>
    <s v="Income"/>
    <s v="Job"/>
    <m/>
    <n v="1876.04"/>
    <n v="-10135.727499999997"/>
    <n v="0"/>
    <m/>
  </r>
  <r>
    <s v="2021"/>
    <s v="Apr"/>
    <x v="87"/>
    <s v="Chevron Gas"/>
    <s v="Transportation"/>
    <s v="Fuel"/>
    <n v="34.630000000000003"/>
    <m/>
    <n v="-10170.357499999996"/>
    <n v="0"/>
    <m/>
  </r>
  <r>
    <s v="2021"/>
    <s v="Apr"/>
    <x v="87"/>
    <s v="Coinbase - ETH"/>
    <s v="Savings or Investments"/>
    <s v="Cryptocurrencies"/>
    <n v="150"/>
    <m/>
    <n v="-10320.357499999996"/>
    <n v="150"/>
    <m/>
  </r>
  <r>
    <s v="2021"/>
    <s v="Apr"/>
    <x v="87"/>
    <s v="Teahouse"/>
    <s v="Food"/>
    <s v="Drink"/>
    <n v="10.54"/>
    <m/>
    <n v="-10330.897499999997"/>
    <n v="0"/>
    <m/>
  </r>
  <r>
    <s v="2021"/>
    <s v="Apr"/>
    <x v="87"/>
    <s v="Sushi Choo Choo"/>
    <s v="Food"/>
    <s v="Dining out"/>
    <n v="24.5"/>
    <m/>
    <n v="-10355.397499999997"/>
    <n v="0"/>
    <m/>
  </r>
  <r>
    <s v="2021"/>
    <s v="Apr"/>
    <x v="87"/>
    <s v="Hair Dye"/>
    <s v="Personal Care"/>
    <s v="Hair/nails"/>
    <n v="235"/>
    <m/>
    <n v="-10590.397499999997"/>
    <n v="0"/>
    <m/>
  </r>
  <r>
    <s v="2021"/>
    <s v="Apr"/>
    <x v="88"/>
    <s v="Boba Island"/>
    <s v="Food"/>
    <s v="Drink"/>
    <n v="15.64"/>
    <m/>
    <n v="-10606.037499999997"/>
    <n v="0"/>
    <m/>
  </r>
  <r>
    <s v="2021"/>
    <s v="Apr"/>
    <x v="88"/>
    <s v="Giau Bar"/>
    <s v="Food"/>
    <s v="Drink"/>
    <n v="90.76"/>
    <m/>
    <n v="-10696.797499999997"/>
    <n v="0"/>
    <m/>
  </r>
  <r>
    <s v="2021"/>
    <s v="Apr"/>
    <x v="89"/>
    <s v="Ramen"/>
    <s v="Food"/>
    <s v="Dining out"/>
    <n v="17.399999999999999"/>
    <m/>
    <n v="-10714.197499999997"/>
    <n v="0"/>
    <m/>
  </r>
  <r>
    <s v="2021"/>
    <s v="Apr"/>
    <x v="89"/>
    <s v="Duc Chuong Bun Bo Hue"/>
    <s v="Food"/>
    <s v="Dining out"/>
    <n v="19.46"/>
    <m/>
    <n v="-10733.657499999996"/>
    <n v="0"/>
    <m/>
  </r>
  <r>
    <s v="2021"/>
    <s v="Apr"/>
    <x v="90"/>
    <s v="Boba Island"/>
    <s v="Food"/>
    <s v="Drink"/>
    <n v="9.26"/>
    <m/>
    <n v="-10742.917499999996"/>
    <n v="0"/>
    <m/>
  </r>
  <r>
    <s v="2021"/>
    <s v="Apr"/>
    <x v="90"/>
    <s v="Tea Holic"/>
    <s v="Food"/>
    <s v="Drink"/>
    <n v="5.52"/>
    <m/>
    <n v="-10748.437499999996"/>
    <n v="0"/>
    <m/>
  </r>
  <r>
    <s v="2021"/>
    <s v="Apr"/>
    <x v="91"/>
    <s v="Paypal Sales Fee"/>
    <s v="Other"/>
    <s v="Resale Fee"/>
    <n v="8.39"/>
    <m/>
    <n v="-10756.827499999996"/>
    <n v="0"/>
    <m/>
  </r>
  <r>
    <s v="2021"/>
    <s v="Apr"/>
    <x v="91"/>
    <s v="Crawfish"/>
    <s v="Food"/>
    <s v="Dining out"/>
    <n v="24"/>
    <m/>
    <n v="-10780.827499999996"/>
    <n v="0"/>
    <m/>
  </r>
  <r>
    <s v="2021"/>
    <s v="Apr"/>
    <x v="91"/>
    <s v="ExxonMobil"/>
    <s v="Transportation"/>
    <s v="Fuel"/>
    <n v="32.6"/>
    <m/>
    <n v="-10813.427499999996"/>
    <n v="0"/>
    <m/>
  </r>
  <r>
    <s v="2021"/>
    <s v="May"/>
    <x v="92"/>
    <s v="Starbucks"/>
    <s v="Food"/>
    <s v="Drink"/>
    <n v="4.28"/>
    <m/>
    <n v="-10817.707499999997"/>
    <n v="0"/>
    <m/>
  </r>
  <r>
    <s v="2021"/>
    <s v="May"/>
    <x v="92"/>
    <s v="Rent"/>
    <s v="Housing"/>
    <s v="Mortgage or rent"/>
    <n v="500"/>
    <m/>
    <n v="-11317.707499999997"/>
    <n v="0"/>
    <m/>
  </r>
  <r>
    <s v="2021"/>
    <s v="May"/>
    <x v="93"/>
    <s v="Coinbase - BTC"/>
    <s v="Savings or Investments"/>
    <s v="Cryptocurrencies"/>
    <n v="100"/>
    <m/>
    <n v="-11417.707499999997"/>
    <n v="100"/>
    <m/>
  </r>
  <r>
    <s v="2021"/>
    <s v="May"/>
    <x v="93"/>
    <s v="Intendo Game - Vincent"/>
    <s v="Gifts and Donations"/>
    <s v="Family"/>
    <n v="20.57"/>
    <m/>
    <n v="-11438.277499999997"/>
    <n v="0"/>
    <m/>
  </r>
  <r>
    <s v="2021"/>
    <s v="May"/>
    <x v="94"/>
    <s v="AmMex High Yeild Saving"/>
    <s v="Savings or Investments"/>
    <s v="Saving Account"/>
    <n v="100"/>
    <m/>
    <n v="-11538.277499999997"/>
    <n v="100"/>
    <m/>
  </r>
  <r>
    <s v="2021"/>
    <s v="May"/>
    <x v="94"/>
    <s v="Coinbase Ethereum profit"/>
    <s v="Income"/>
    <s v="Investment Profit"/>
    <m/>
    <n v="492.55"/>
    <n v="-11045.727499999997"/>
    <n v="0"/>
    <m/>
  </r>
  <r>
    <s v="2021"/>
    <s v="May"/>
    <x v="95"/>
    <s v="Coinbase ETH"/>
    <s v="Savings or Investments"/>
    <s v="Cryptocurrencies"/>
    <n v="100"/>
    <m/>
    <n v="-11145.727499999997"/>
    <n v="100"/>
    <m/>
  </r>
  <r>
    <s v="2021"/>
    <s v="May"/>
    <x v="95"/>
    <s v="Walmart"/>
    <s v="Food"/>
    <s v="Groceries"/>
    <n v="73.42"/>
    <m/>
    <n v="-11219.147499999997"/>
    <n v="0"/>
    <m/>
  </r>
  <r>
    <s v="2021"/>
    <s v="May"/>
    <x v="95"/>
    <s v="2 Ledger for Khanh and Mom"/>
    <s v="Shopping"/>
    <s v="Technology"/>
    <n v="127.74"/>
    <m/>
    <n v="-11346.887499999997"/>
    <n v="0"/>
    <m/>
  </r>
  <r>
    <s v="2021"/>
    <s v="May"/>
    <x v="95"/>
    <s v="Honeywell paycheck"/>
    <s v="Income"/>
    <s v="Job"/>
    <m/>
    <n v="1876.05"/>
    <n v="-9470.8374999999978"/>
    <n v="0"/>
    <m/>
  </r>
  <r>
    <s v="2021"/>
    <s v="May"/>
    <x v="96"/>
    <s v="Mein Mothers Day"/>
    <s v="Food"/>
    <s v="Dining out"/>
    <n v="44.37"/>
    <m/>
    <n v="-9515.2074999999986"/>
    <n v="0"/>
    <m/>
  </r>
  <r>
    <s v="2021"/>
    <s v="May"/>
    <x v="97"/>
    <s v="Coinbase ADA"/>
    <s v="Savings or Investments"/>
    <s v="Cryptocurrencies"/>
    <n v="100"/>
    <m/>
    <n v="-9615.2074999999986"/>
    <n v="100"/>
    <m/>
  </r>
  <r>
    <s v="2021"/>
    <s v="May"/>
    <x v="97"/>
    <s v="Piano lessons"/>
    <s v="Personal Care"/>
    <s v="Piano lesson"/>
    <n v="260"/>
    <m/>
    <n v="-9875.2074999999986"/>
    <n v="0"/>
    <m/>
  </r>
  <r>
    <s v="2021"/>
    <s v="May"/>
    <x v="97"/>
    <s v="Crypto.com DOT"/>
    <s v="Savings or Investments"/>
    <s v="Cryptocurrencies"/>
    <n v="97.31"/>
    <m/>
    <n v="-9972.5174999999981"/>
    <n v="97.31"/>
    <m/>
  </r>
  <r>
    <s v="2021"/>
    <s v="May"/>
    <x v="97"/>
    <s v="Crypto.com LINK"/>
    <s v="Savings or Investments"/>
    <s v="Cryptocurrencies"/>
    <n v="126.21"/>
    <m/>
    <n v="-10098.727499999997"/>
    <n v="126.21"/>
    <m/>
  </r>
  <r>
    <s v="2021"/>
    <s v="May"/>
    <x v="97"/>
    <s v="Crypto.com VET"/>
    <s v="Savings or Investments"/>
    <s v="Cryptocurrencies"/>
    <n v="210.68"/>
    <m/>
    <n v="-10309.407499999998"/>
    <n v="210.68"/>
    <m/>
  </r>
  <r>
    <s v="2021"/>
    <s v="May"/>
    <x v="97"/>
    <s v="Crypto.com ETC"/>
    <s v="Savings or Investments"/>
    <s v="Cryptocurrencies"/>
    <n v="603.83000000000004"/>
    <m/>
    <n v="-10913.237499999997"/>
    <n v="603.83000000000004"/>
    <m/>
  </r>
  <r>
    <s v="2021"/>
    <s v="May"/>
    <x v="98"/>
    <s v="McDonald's"/>
    <s v="Food"/>
    <s v="Dining out"/>
    <n v="5.4"/>
    <m/>
    <n v="-10918.637499999997"/>
    <n v="0"/>
    <m/>
  </r>
  <r>
    <s v="2021"/>
    <s v="May"/>
    <x v="98"/>
    <s v="Toyota Rav4 Payment"/>
    <s v="Transportation"/>
    <s v="Vehicle payment"/>
    <n v="419.69"/>
    <m/>
    <n v="-11338.327499999998"/>
    <n v="0"/>
    <m/>
  </r>
  <r>
    <s v="2021"/>
    <s v="May"/>
    <x v="98"/>
    <s v="Popeyes"/>
    <s v="Food"/>
    <s v="Dining out"/>
    <n v="12.21"/>
    <m/>
    <n v="-11350.537499999997"/>
    <n v="0"/>
    <m/>
  </r>
  <r>
    <s v="2021"/>
    <s v="May"/>
    <x v="98"/>
    <s v="Crypto.com SHIB"/>
    <s v="Savings or Investments"/>
    <s v="Cryptocurrencies"/>
    <n v="205.07"/>
    <m/>
    <n v="-11555.607499999996"/>
    <n v="205.07"/>
    <m/>
  </r>
  <r>
    <s v="2021"/>
    <s v="May"/>
    <x v="98"/>
    <s v="Crypto.com SHIB"/>
    <s v="Savings or Investments"/>
    <s v="Cryptocurrencies"/>
    <n v="205.73"/>
    <m/>
    <n v="-11761.337499999996"/>
    <n v="205.73"/>
    <m/>
  </r>
  <r>
    <s v="2021"/>
    <s v="May"/>
    <x v="98"/>
    <s v="Crypto.com SHIB"/>
    <s v="Savings or Investments"/>
    <s v="Cryptocurrencies"/>
    <n v="207.49"/>
    <m/>
    <n v="-11968.827499999996"/>
    <n v="207.49"/>
    <m/>
  </r>
  <r>
    <s v="2021"/>
    <s v="May"/>
    <x v="98"/>
    <s v="Robinhood DOGE gain"/>
    <s v="Income"/>
    <s v="Investment Profit"/>
    <m/>
    <n v="194.85"/>
    <n v="-11773.977499999995"/>
    <n v="0"/>
    <m/>
  </r>
  <r>
    <s v="2021"/>
    <s v="May"/>
    <x v="99"/>
    <s v="ExxonMobil"/>
    <s v="Transportation"/>
    <s v="Fuel"/>
    <n v="32.869999999999997"/>
    <m/>
    <n v="-11806.847499999996"/>
    <n v="0"/>
    <m/>
  </r>
  <r>
    <s v="2021"/>
    <s v="May"/>
    <x v="99"/>
    <s v="Fidelity Sold Coinbase (-128.46) and Nio (-138.35) (lost)"/>
    <s v="Income"/>
    <s v="Investment Profit"/>
    <m/>
    <n v="621.32000000000005"/>
    <n v="-11185.527499999997"/>
    <n v="0"/>
    <m/>
  </r>
  <r>
    <s v="2021"/>
    <s v="May"/>
    <x v="100"/>
    <s v="Coinbase LTC"/>
    <s v="Savings or Investments"/>
    <s v="Cryptocurrencies"/>
    <n v="50"/>
    <m/>
    <n v="-11235.527499999997"/>
    <n v="50"/>
    <m/>
  </r>
  <r>
    <s v="2021"/>
    <s v="May"/>
    <x v="100"/>
    <s v="Coinbse BTC"/>
    <s v="Savings or Investments"/>
    <s v="Cryptocurrencies"/>
    <n v="100"/>
    <m/>
    <n v="-11335.527499999997"/>
    <n v="100"/>
    <m/>
  </r>
  <r>
    <s v="2021"/>
    <s v="May"/>
    <x v="100"/>
    <s v="Beautiful Life Hair Salon"/>
    <s v="Personal Care"/>
    <s v="Hair/nails"/>
    <n v="115"/>
    <m/>
    <n v="-11450.527499999997"/>
    <n v="0"/>
    <m/>
  </r>
  <r>
    <s v="2021"/>
    <s v="May"/>
    <x v="100"/>
    <s v="Coinbase ETH"/>
    <s v="Savings or Investments"/>
    <s v="Cryptocurrencies"/>
    <n v="150"/>
    <m/>
    <n v="-11600.527499999997"/>
    <n v="150"/>
    <m/>
  </r>
  <r>
    <s v="2021"/>
    <s v="May"/>
    <x v="100"/>
    <s v="Crypto.com SHIB (lost)"/>
    <s v="Income"/>
    <s v="Investment Profit"/>
    <m/>
    <n v="409.73"/>
    <n v="-11190.797499999997"/>
    <n v="0"/>
    <m/>
  </r>
  <r>
    <s v="2021"/>
    <s v="May"/>
    <x v="100"/>
    <s v="Crypto.com ETC (lost)"/>
    <s v="Income"/>
    <s v="Investment Profit"/>
    <m/>
    <n v="385.12"/>
    <n v="-10805.677499999996"/>
    <n v="0"/>
    <m/>
  </r>
  <r>
    <s v="2021"/>
    <s v="May"/>
    <x v="101"/>
    <s v="Western union - cho anh Ny"/>
    <s v="Gifts and Donations"/>
    <s v="Family"/>
    <n v="50"/>
    <m/>
    <n v="-10855.677499999996"/>
    <n v="0"/>
    <m/>
  </r>
  <r>
    <s v="2021"/>
    <s v="May"/>
    <x v="102"/>
    <s v="Taco Bell"/>
    <s v="Food"/>
    <s v="Dining out"/>
    <n v="7.46"/>
    <m/>
    <n v="-10863.137499999995"/>
    <n v="0"/>
    <m/>
  </r>
  <r>
    <s v="2021"/>
    <s v="May"/>
    <x v="103"/>
    <s v="ATM cash withdraw"/>
    <s v="Other"/>
    <s v="Cash withdraw"/>
    <n v="20"/>
    <m/>
    <n v="-10883.137499999995"/>
    <n v="0"/>
    <m/>
  </r>
  <r>
    <s v="2021"/>
    <s v="May"/>
    <x v="104"/>
    <s v="Bellaire Optometry Eyes exam"/>
    <s v="Personal Care"/>
    <s v="Medical"/>
    <n v="45"/>
    <m/>
    <n v="-10928.137499999995"/>
    <n v="0"/>
    <m/>
  </r>
  <r>
    <s v="2021"/>
    <s v="May"/>
    <x v="104"/>
    <s v="Crypto sell profit"/>
    <s v="Income"/>
    <s v="Investment Profit"/>
    <m/>
    <n v="1477.65"/>
    <n v="-9450.4874999999956"/>
    <n v="0"/>
    <m/>
  </r>
  <r>
    <s v="2021"/>
    <s v="May"/>
    <x v="104"/>
    <s v="Crypto sell profit"/>
    <s v="Income"/>
    <s v="Investment Profit"/>
    <m/>
    <n v="1477.65"/>
    <n v="-7972.837499999996"/>
    <n v="0"/>
    <m/>
  </r>
  <r>
    <s v="2021"/>
    <s v="May"/>
    <x v="105"/>
    <s v="Aldi"/>
    <s v="Food"/>
    <s v="Groceries"/>
    <n v="9.2799999999999994"/>
    <m/>
    <n v="-7982.1174999999957"/>
    <n v="0"/>
    <m/>
  </r>
  <r>
    <s v="2021"/>
    <s v="May"/>
    <x v="106"/>
    <s v="Boba Island"/>
    <s v="Food"/>
    <s v="Drink"/>
    <n v="9.9600000000000009"/>
    <m/>
    <n v="-7992.0774999999958"/>
    <n v="0"/>
    <m/>
  </r>
  <r>
    <s v="2021"/>
    <s v="May"/>
    <x v="106"/>
    <s v="Sushi with Thanh"/>
    <s v="Food"/>
    <s v="Dining out"/>
    <n v="34"/>
    <m/>
    <n v="-8026.0774999999958"/>
    <n v="0"/>
    <m/>
  </r>
  <r>
    <s v="2021"/>
    <s v="May"/>
    <x v="106"/>
    <s v="Coinbase"/>
    <s v="Savings or Investments"/>
    <s v="Cryptocurrencies"/>
    <n v="500"/>
    <m/>
    <n v="-8526.0774999999958"/>
    <n v="500"/>
    <m/>
  </r>
  <r>
    <s v="2021"/>
    <s v="May"/>
    <x v="106"/>
    <s v="Shell Oil"/>
    <s v="Transportation"/>
    <s v="Fuel"/>
    <n v="31.15"/>
    <m/>
    <n v="-8557.2274999999954"/>
    <n v="0"/>
    <m/>
  </r>
  <r>
    <s v="2021"/>
    <s v="May"/>
    <x v="106"/>
    <s v="Honeywell paycheck"/>
    <s v="Income"/>
    <s v="Job"/>
    <m/>
    <n v="1876.04"/>
    <n v="-6681.1874999999955"/>
    <n v="0"/>
    <m/>
  </r>
  <r>
    <s v="2021"/>
    <s v="May"/>
    <x v="107"/>
    <s v="Ocean crawfish"/>
    <s v="Food"/>
    <s v="Dining out"/>
    <n v="20.71"/>
    <m/>
    <n v="-6701.8974999999955"/>
    <n v="0"/>
    <m/>
  </r>
  <r>
    <s v="2021"/>
    <s v="May"/>
    <x v="107"/>
    <s v="Walmart"/>
    <s v="Food"/>
    <s v="Groceries"/>
    <n v="64.41"/>
    <m/>
    <n v="-6766.3074999999953"/>
    <n v="0"/>
    <m/>
  </r>
  <r>
    <s v="2021"/>
    <s v="May"/>
    <x v="108"/>
    <s v="Star Snow Ice"/>
    <s v="Food"/>
    <s v="Drink"/>
    <n v="6.5"/>
    <m/>
    <n v="-6772.8074999999953"/>
    <n v="0"/>
    <m/>
  </r>
  <r>
    <s v="2021"/>
    <s v="May"/>
    <x v="108"/>
    <s v="Stock gain Tyson Food"/>
    <s v="Income"/>
    <s v="Investment Profit"/>
    <m/>
    <n v="2454.2600000000002"/>
    <n v="-4318.5474999999951"/>
    <n v="0"/>
    <m/>
  </r>
  <r>
    <s v="2021"/>
    <s v="May"/>
    <x v="108"/>
    <s v="Stock gain Intel"/>
    <s v="Income"/>
    <s v="Investment Profit"/>
    <m/>
    <n v="2187.89"/>
    <n v="-2130.6574999999953"/>
    <n v="0"/>
    <m/>
  </r>
  <r>
    <s v="2021"/>
    <s v="May"/>
    <x v="108"/>
    <s v="Stock loss Lockheed Martin"/>
    <s v="Income"/>
    <s v="Investment Profit"/>
    <m/>
    <n v="1945.77"/>
    <n v="-184.88749999999527"/>
    <n v="0"/>
    <m/>
  </r>
  <r>
    <s v="2021"/>
    <s v="May"/>
    <x v="109"/>
    <s v="Coinbase"/>
    <s v="Savings or Investments"/>
    <s v="Cryptocurrencies"/>
    <n v="100"/>
    <m/>
    <n v="-284.88749999999527"/>
    <n v="100"/>
    <m/>
  </r>
  <r>
    <s v="2021"/>
    <s v="May"/>
    <x v="109"/>
    <s v="Coinbase"/>
    <s v="Savings or Investments"/>
    <s v="Cryptocurrencies"/>
    <n v="100"/>
    <m/>
    <n v="-384.88749999999527"/>
    <n v="100"/>
    <m/>
  </r>
  <r>
    <s v="2021"/>
    <s v="May"/>
    <x v="109"/>
    <s v="Boba Island"/>
    <s v="Food"/>
    <s v="Drink"/>
    <n v="3.3500000000000005"/>
    <m/>
    <n v="-388.23749999999529"/>
    <n v="0"/>
    <m/>
  </r>
  <r>
    <s v="2021"/>
    <s v="May"/>
    <x v="109"/>
    <s v="Boba Island"/>
    <s v="Food"/>
    <s v="Drink"/>
    <n v="8.5"/>
    <m/>
    <n v="-396.73749999999529"/>
    <n v="0"/>
    <m/>
  </r>
  <r>
    <s v="2021"/>
    <s v="May"/>
    <x v="110"/>
    <s v="Coinbase"/>
    <s v="Savings or Investments"/>
    <s v="Cryptocurrencies"/>
    <n v="100"/>
    <m/>
    <n v="-496.73749999999529"/>
    <n v="100"/>
    <m/>
  </r>
  <r>
    <s v="2021"/>
    <s v="May"/>
    <x v="110"/>
    <s v="Coinbase"/>
    <s v="Savings or Investments"/>
    <s v="Cryptocurrencies"/>
    <n v="100"/>
    <m/>
    <n v="-596.73749999999529"/>
    <n v="100"/>
    <m/>
  </r>
  <r>
    <s v="2021"/>
    <s v="May"/>
    <x v="110"/>
    <s v="Coinbase"/>
    <s v="Savings or Investments"/>
    <s v="Cryptocurrencies"/>
    <n v="200"/>
    <m/>
    <n v="-796.73749999999529"/>
    <n v="200"/>
    <m/>
  </r>
  <r>
    <s v="2021"/>
    <s v="May"/>
    <x v="111"/>
    <s v="Coinbase"/>
    <s v="Savings or Investments"/>
    <s v="Cryptocurrencies"/>
    <n v="200"/>
    <m/>
    <n v="-996.73749999999529"/>
    <n v="200"/>
    <m/>
  </r>
  <r>
    <s v="2021"/>
    <s v="May"/>
    <x v="111"/>
    <s v="Coinbase"/>
    <s v="Savings or Investments"/>
    <s v="Cryptocurrencies"/>
    <n v="500"/>
    <m/>
    <n v="-1496.7374999999952"/>
    <n v="500"/>
    <m/>
  </r>
  <r>
    <s v="2021"/>
    <s v="May"/>
    <x v="111"/>
    <s v="Boba Island"/>
    <s v="Food"/>
    <s v="Drink"/>
    <n v="8.25"/>
    <m/>
    <n v="-1504.9874999999952"/>
    <n v="0"/>
    <m/>
  </r>
  <r>
    <s v="2021"/>
    <s v="May"/>
    <x v="111"/>
    <s v="Magic Cup"/>
    <s v="Food"/>
    <s v="Drink"/>
    <n v="15.54"/>
    <m/>
    <n v="-1520.5274999999951"/>
    <n v="0"/>
    <m/>
  </r>
  <r>
    <s v="2021"/>
    <s v="May"/>
    <x v="112"/>
    <s v="Coinbase"/>
    <s v="Savings or Investments"/>
    <s v="Cryptocurrencies"/>
    <n v="200"/>
    <m/>
    <n v="-1720.5274999999951"/>
    <n v="200"/>
    <m/>
  </r>
  <r>
    <s v="2021"/>
    <s v="May"/>
    <x v="113"/>
    <s v="McDonald's"/>
    <s v="Food"/>
    <s v="Dining out"/>
    <n v="18.27"/>
    <m/>
    <n v="-1738.7974999999951"/>
    <n v="0"/>
    <m/>
  </r>
  <r>
    <s v="2021"/>
    <s v="May"/>
    <x v="113"/>
    <s v="Walmart"/>
    <s v="Food"/>
    <s v="Groceries"/>
    <n v="63.44"/>
    <m/>
    <n v="-1802.2374999999952"/>
    <n v="0"/>
    <m/>
  </r>
  <r>
    <s v="2021"/>
    <s v="May"/>
    <x v="114"/>
    <s v="ExxonMobil"/>
    <s v="Transportation"/>
    <s v="Fuel"/>
    <n v="29.11"/>
    <m/>
    <n v="-1831.3474999999951"/>
    <n v="0"/>
    <m/>
  </r>
  <r>
    <s v="2021"/>
    <s v="May"/>
    <x v="115"/>
    <s v="J Tea"/>
    <s v="Food"/>
    <s v="Drink"/>
    <n v="6.17"/>
    <m/>
    <n v="-1837.5174999999952"/>
    <n v="0"/>
    <m/>
  </r>
  <r>
    <s v="2021"/>
    <s v="May"/>
    <x v="115"/>
    <s v="Walmart"/>
    <s v="Food"/>
    <s v="Groceries"/>
    <n v="4.3"/>
    <m/>
    <n v="-1841.8174999999951"/>
    <n v="0"/>
    <m/>
  </r>
  <r>
    <s v="2021"/>
    <s v="Jun"/>
    <x v="116"/>
    <s v="Coinbase"/>
    <s v="Savings or Investments"/>
    <s v="Cryptocurrencies"/>
    <n v="100"/>
    <m/>
    <n v="-1941.8174999999951"/>
    <n v="100"/>
    <m/>
  </r>
  <r>
    <s v="2021"/>
    <s v="Jun"/>
    <x v="116"/>
    <s v="Coinbase"/>
    <s v="Savings or Investments"/>
    <s v="Cryptocurrencies"/>
    <n v="100"/>
    <m/>
    <n v="-2041.8174999999951"/>
    <n v="100"/>
    <m/>
  </r>
  <r>
    <s v="2021"/>
    <s v="Jun"/>
    <x v="116"/>
    <s v="Rent"/>
    <s v="Housing"/>
    <s v="Mortgage or rent"/>
    <n v="500"/>
    <m/>
    <n v="-2541.8174999999951"/>
    <n v="0"/>
    <m/>
  </r>
  <r>
    <s v="2021"/>
    <s v="Jun"/>
    <x v="116"/>
    <s v="McDonald's"/>
    <s v="Food"/>
    <s v="Dining out"/>
    <n v="8.43"/>
    <m/>
    <n v="-2550.2474999999949"/>
    <n v="0"/>
    <m/>
  </r>
  <r>
    <s v="2021"/>
    <s v="Jun"/>
    <x v="116"/>
    <s v="Dakao Restaurant"/>
    <s v="Food"/>
    <s v="Dining out"/>
    <n v="10.58"/>
    <m/>
    <n v="-2560.8274999999949"/>
    <n v="0"/>
    <m/>
  </r>
  <r>
    <s v="2021"/>
    <s v="Jun"/>
    <x v="116"/>
    <s v="Dakao Restaurant"/>
    <s v="Food"/>
    <s v="Dining out"/>
    <n v="18.77"/>
    <m/>
    <n v="-2579.5974999999949"/>
    <n v="0"/>
    <m/>
  </r>
  <r>
    <s v="2021"/>
    <s v="Jun"/>
    <x v="117"/>
    <s v="Coinbase"/>
    <s v="Savings or Investments"/>
    <s v="Cryptocurrencies"/>
    <n v="100"/>
    <m/>
    <n v="-2679.5974999999949"/>
    <n v="100"/>
    <m/>
  </r>
  <r>
    <s v="2021"/>
    <s v="Jun"/>
    <x v="117"/>
    <s v="High Yeild Saving Account"/>
    <s v="Savings or Investments"/>
    <s v="Saving Account"/>
    <n v="100"/>
    <m/>
    <n v="-2779.5974999999949"/>
    <n v="100"/>
    <m/>
  </r>
  <r>
    <s v="2021"/>
    <s v="Jun"/>
    <x v="117"/>
    <s v="Coinbase"/>
    <s v="Savings or Investments"/>
    <s v="Cryptocurrencies"/>
    <n v="200"/>
    <m/>
    <n v="-2979.5974999999949"/>
    <n v="200"/>
    <m/>
  </r>
  <r>
    <s v="2021"/>
    <s v="Jun"/>
    <x v="117"/>
    <s v="Fidelity"/>
    <s v="Savings or Investments"/>
    <s v="Retirement account"/>
    <n v="500"/>
    <m/>
    <n v="-3479.5974999999949"/>
    <n v="500"/>
    <m/>
  </r>
  <r>
    <s v="2021"/>
    <s v="Jun"/>
    <x v="117"/>
    <s v="Marshall shopping"/>
    <s v="Shopping"/>
    <s v="Clothes"/>
    <n v="32.46"/>
    <m/>
    <n v="-3512.0574999999949"/>
    <n v="0"/>
    <m/>
  </r>
  <r>
    <s v="2021"/>
    <s v="Jun"/>
    <x v="118"/>
    <s v="J Tea"/>
    <s v="Food"/>
    <s v="Drink"/>
    <n v="5.91"/>
    <m/>
    <n v="-3517.9674999999947"/>
    <n v="0"/>
    <m/>
  </r>
  <r>
    <s v="2021"/>
    <s v="Jun"/>
    <x v="118"/>
    <s v="Burger King"/>
    <s v="Food"/>
    <s v="Dining out"/>
    <n v="6.48"/>
    <m/>
    <n v="-3524.4474999999948"/>
    <n v="0"/>
    <m/>
  </r>
  <r>
    <s v="2021"/>
    <s v="Jun"/>
    <x v="118"/>
    <s v="Pho con bo"/>
    <s v="Food"/>
    <s v="Dining out"/>
    <n v="25.04"/>
    <m/>
    <n v="-3549.4874999999947"/>
    <n v="0"/>
    <m/>
  </r>
  <r>
    <s v="2021"/>
    <s v="Jun"/>
    <x v="119"/>
    <s v="Walmart"/>
    <s v="Food"/>
    <s v="Groceries"/>
    <n v="17.13"/>
    <m/>
    <n v="-3566.6174999999948"/>
    <n v="0"/>
    <m/>
  </r>
  <r>
    <s v="2021"/>
    <s v="Jun"/>
    <x v="119"/>
    <s v="ExxonMobil"/>
    <s v="Transportation"/>
    <s v="Fuel"/>
    <n v="32.380000000000003"/>
    <m/>
    <n v="-3598.9974999999949"/>
    <n v="0"/>
    <m/>
  </r>
  <r>
    <s v="2021"/>
    <s v="Jun"/>
    <x v="119"/>
    <s v="One Hot Pot and Grill"/>
    <s v="Food"/>
    <s v="Dining out"/>
    <n v="67.5"/>
    <m/>
    <n v="-3666.4974999999949"/>
    <n v="0"/>
    <m/>
  </r>
  <r>
    <s v="2021"/>
    <s v="Jun"/>
    <x v="119"/>
    <s v="Honeywell paycheck"/>
    <s v="Income"/>
    <s v="Job"/>
    <m/>
    <n v="1876.04"/>
    <n v="-1790.457499999995"/>
    <n v="0"/>
    <m/>
  </r>
  <r>
    <s v="2021"/>
    <s v="Jun"/>
    <x v="120"/>
    <s v="Tan Tan"/>
    <s v="Food"/>
    <s v="Dining out"/>
    <n v="10.77"/>
    <m/>
    <n v="-1801.227499999995"/>
    <n v="0"/>
    <m/>
  </r>
  <r>
    <s v="2021"/>
    <s v="Jun"/>
    <x v="120"/>
    <s v="Lee Sandwiches"/>
    <s v="Food"/>
    <s v="Dining out"/>
    <n v="10.68"/>
    <m/>
    <n v="-1811.907499999995"/>
    <n v="0"/>
    <m/>
  </r>
  <r>
    <s v="2021"/>
    <s v="Jun"/>
    <x v="120"/>
    <s v="TeaFix"/>
    <s v="Food"/>
    <s v="Drink"/>
    <n v="19.03"/>
    <m/>
    <n v="-1830.937499999995"/>
    <n v="0"/>
    <m/>
  </r>
  <r>
    <s v="2021"/>
    <s v="Jun"/>
    <x v="121"/>
    <s v="Kroger"/>
    <s v="Food"/>
    <s v="Groceries"/>
    <n v="4.99"/>
    <m/>
    <n v="-1835.927499999995"/>
    <n v="0"/>
    <m/>
  </r>
  <r>
    <s v="2021"/>
    <s v="Jun"/>
    <x v="121"/>
    <s v="Octopus pushie"/>
    <s v="Gifts and Donations"/>
    <s v="Family"/>
    <n v="27.06"/>
    <m/>
    <n v="-1862.987499999995"/>
    <n v="0"/>
    <m/>
  </r>
  <r>
    <s v="2021"/>
    <s v="Jun"/>
    <x v="121"/>
    <s v="Bath and Body Works"/>
    <s v="Gifts and Donations"/>
    <s v="Friends"/>
    <n v="42.76"/>
    <m/>
    <n v="-1905.7474999999949"/>
    <n v="0"/>
    <m/>
  </r>
  <r>
    <s v="2021"/>
    <s v="Jun"/>
    <x v="122"/>
    <s v="Piano lessons"/>
    <s v="Personal Care"/>
    <s v="Piano lesson"/>
    <n v="260"/>
    <m/>
    <n v="-2165.7474999999949"/>
    <n v="0"/>
    <m/>
  </r>
  <r>
    <s v="2021"/>
    <s v="Jun"/>
    <x v="122"/>
    <s v="Toyota Rav 4 Payment"/>
    <s v="Transportation"/>
    <s v="Vehicle payment"/>
    <n v="419.69"/>
    <m/>
    <n v="-2585.437499999995"/>
    <n v="0"/>
    <m/>
  </r>
  <r>
    <s v="2021"/>
    <s v="Jun"/>
    <x v="123"/>
    <s v="Coinbase"/>
    <s v="Savings or Investments"/>
    <s v="Cryptocurrencies"/>
    <n v="100"/>
    <m/>
    <n v="-2685.437499999995"/>
    <n v="100"/>
    <m/>
  </r>
  <r>
    <s v="2021"/>
    <s v="Jun"/>
    <x v="123"/>
    <s v="Coinbase"/>
    <s v="Savings or Investments"/>
    <s v="Cryptocurrencies"/>
    <n v="100"/>
    <m/>
    <n v="-2785.437499999995"/>
    <n v="100"/>
    <m/>
  </r>
  <r>
    <s v="2021"/>
    <s v="Jun"/>
    <x v="123"/>
    <s v="Dakao Restaurant"/>
    <s v="Food"/>
    <s v="Dining out"/>
    <n v="14.32"/>
    <m/>
    <n v="-2799.7574999999952"/>
    <n v="0"/>
    <m/>
  </r>
  <r>
    <s v="2021"/>
    <s v="Jun"/>
    <x v="123"/>
    <s v="Bambu Dessert"/>
    <s v="Food"/>
    <s v="Drink"/>
    <n v="17.47"/>
    <m/>
    <n v="-2817.227499999995"/>
    <n v="0"/>
    <m/>
  </r>
  <r>
    <s v="2021"/>
    <s v="Jun"/>
    <x v="124"/>
    <s v="Coinbase"/>
    <s v="Savings or Investments"/>
    <s v="Cryptocurrencies"/>
    <n v="200"/>
    <m/>
    <n v="-3017.227499999995"/>
    <n v="200"/>
    <m/>
  </r>
  <r>
    <s v="2021"/>
    <s v="Jun"/>
    <x v="124"/>
    <s v="J Tea"/>
    <s v="Food"/>
    <s v="Drink"/>
    <n v="16.920000000000002"/>
    <m/>
    <n v="-3034.147499999995"/>
    <n v="0"/>
    <m/>
  </r>
  <r>
    <s v="2021"/>
    <s v="Jun"/>
    <x v="124"/>
    <s v="Seattle Trip - hotel"/>
    <s v="Entertainment"/>
    <s v="Travel"/>
    <n v="108.81"/>
    <m/>
    <n v="-3142.957499999995"/>
    <n v="0"/>
    <s v="Chase Sapphire"/>
  </r>
  <r>
    <s v="2021"/>
    <s v="Jun"/>
    <x v="124"/>
    <s v="Intel Dividends"/>
    <s v="Income"/>
    <s v="Investment Profit"/>
    <m/>
    <n v="13.96"/>
    <n v="-3128.9974999999949"/>
    <n v="0"/>
    <m/>
  </r>
  <r>
    <s v="2021"/>
    <s v="Jun"/>
    <x v="125"/>
    <s v="Nguyen tra tien nuoc"/>
    <s v="Food"/>
    <s v="Drink"/>
    <n v="-5.74"/>
    <m/>
    <n v="-3123.2574999999952"/>
    <n v="0"/>
    <m/>
  </r>
  <r>
    <s v="2021"/>
    <s v="Jun"/>
    <x v="125"/>
    <s v="J Tea"/>
    <s v="Food"/>
    <s v="Drink"/>
    <n v="11.49"/>
    <m/>
    <n v="-3134.7474999999949"/>
    <n v="0"/>
    <m/>
  </r>
  <r>
    <s v="2021"/>
    <s v="Jun"/>
    <x v="125"/>
    <s v="Dakao Restaurant"/>
    <s v="Food"/>
    <s v="Dining out"/>
    <n v="20.41"/>
    <m/>
    <n v="-3155.1574999999948"/>
    <n v="0"/>
    <m/>
  </r>
  <r>
    <s v="2021"/>
    <s v="Jun"/>
    <x v="125"/>
    <s v="Amazon"/>
    <s v="Shopping"/>
    <s v="Amazon"/>
    <n v="94.44"/>
    <m/>
    <n v="-3249.5974999999949"/>
    <n v="0"/>
    <m/>
  </r>
  <r>
    <s v="2021"/>
    <s v="Jun"/>
    <x v="126"/>
    <s v="Lee Sandwiches"/>
    <s v="Food"/>
    <s v="Dining out"/>
    <n v="13.69"/>
    <m/>
    <n v="-3263.2874999999949"/>
    <n v="0"/>
    <m/>
  </r>
  <r>
    <s v="2021"/>
    <s v="Jun"/>
    <x v="126"/>
    <s v="Magic Cup"/>
    <s v="Food"/>
    <s v="Drink"/>
    <n v="16.079999999999998"/>
    <m/>
    <n v="-3279.3674999999948"/>
    <n v="0"/>
    <m/>
  </r>
  <r>
    <s v="2021"/>
    <s v="Jun"/>
    <x v="126"/>
    <s v="Circle K"/>
    <s v="Transportation"/>
    <s v="Fuel"/>
    <n v="33.44"/>
    <m/>
    <n v="-3312.8074999999949"/>
    <n v="0"/>
    <m/>
  </r>
  <r>
    <s v="2021"/>
    <s v="Jun"/>
    <x v="127"/>
    <s v="J Tea"/>
    <s v="Food"/>
    <s v="Drink"/>
    <n v="4.87"/>
    <m/>
    <n v="-3317.6774999999948"/>
    <n v="0"/>
    <m/>
  </r>
  <r>
    <s v="2021"/>
    <s v="Jun"/>
    <x v="127"/>
    <s v="Kura"/>
    <s v="Food"/>
    <s v="Dining out"/>
    <n v="46.97"/>
    <m/>
    <n v="-3364.6474999999946"/>
    <n v="0"/>
    <m/>
  </r>
  <r>
    <s v="2021"/>
    <s v="Jun"/>
    <x v="127"/>
    <s v="Sold Ethereum"/>
    <s v="Income"/>
    <s v="Investment Profit"/>
    <m/>
    <n v="985.1"/>
    <n v="-2379.5474999999947"/>
    <n v="0"/>
    <m/>
  </r>
  <r>
    <s v="2021"/>
    <s v="Jun"/>
    <x v="128"/>
    <s v="Lolli and pops"/>
    <s v="Gifts and Donations"/>
    <s v="Family"/>
    <n v="4.28"/>
    <m/>
    <n v="-2383.8274999999949"/>
    <n v="0"/>
    <m/>
  </r>
  <r>
    <s v="2021"/>
    <s v="Jun"/>
    <x v="128"/>
    <s v="J Tea"/>
    <s v="Food"/>
    <s v="Drink"/>
    <n v="10.86"/>
    <m/>
    <n v="-2394.687499999995"/>
    <n v="0"/>
    <m/>
  </r>
  <r>
    <s v="2021"/>
    <s v="Jun"/>
    <x v="128"/>
    <s v="Nguyen tra tien nuoc"/>
    <s v="Food"/>
    <s v="Drink"/>
    <n v="-4.5"/>
    <m/>
    <n v="-2390.187499999995"/>
    <n v="0"/>
    <m/>
  </r>
  <r>
    <s v="2021"/>
    <s v="Jun"/>
    <x v="128"/>
    <s v="Bun Bo Hue Tay Do"/>
    <s v="Food"/>
    <s v="Dining out"/>
    <n v="18.690000000000001"/>
    <m/>
    <n v="-2408.8774999999951"/>
    <n v="0"/>
    <m/>
  </r>
  <r>
    <s v="2021"/>
    <s v="Jun"/>
    <x v="129"/>
    <s v="Coinbase"/>
    <s v="Savings or Investments"/>
    <s v="Cryptocurrencies"/>
    <n v="100"/>
    <m/>
    <n v="-2508.8774999999951"/>
    <n v="100"/>
    <m/>
  </r>
  <r>
    <s v="2021"/>
    <s v="Jun"/>
    <x v="129"/>
    <s v="Coinbase"/>
    <s v="Savings or Investments"/>
    <s v="Cryptocurrencies"/>
    <n v="100"/>
    <m/>
    <n v="-2608.8774999999951"/>
    <n v="100"/>
    <m/>
  </r>
  <r>
    <s v="2021"/>
    <s v="Jun"/>
    <x v="130"/>
    <s v="J Tea"/>
    <s v="Food"/>
    <s v="Drink"/>
    <n v="6.17"/>
    <m/>
    <n v="-2615.0474999999951"/>
    <n v="0"/>
    <m/>
  </r>
  <r>
    <s v="2021"/>
    <s v="Jun"/>
    <x v="130"/>
    <s v="Coinbase"/>
    <s v="Savings or Investments"/>
    <s v="Cryptocurrencies"/>
    <n v="200"/>
    <m/>
    <n v="-2815.0474999999951"/>
    <n v="200"/>
    <m/>
  </r>
  <r>
    <s v="2021"/>
    <s v="Jun"/>
    <x v="130"/>
    <s v="TeaHolic"/>
    <s v="Food"/>
    <s v="Drink"/>
    <n v="13.01"/>
    <m/>
    <n v="-2828.0574999999953"/>
    <n v="0"/>
    <m/>
  </r>
  <r>
    <s v="2021"/>
    <s v="Jun"/>
    <x v="131"/>
    <s v="Baby's Louie Vaccine"/>
    <s v="Pets"/>
    <s v="Medical"/>
    <n v="115"/>
    <m/>
    <n v="-2943.0574999999953"/>
    <n v="0"/>
    <m/>
  </r>
  <r>
    <s v="2021"/>
    <s v="Jun"/>
    <x v="131"/>
    <s v="Shell OIl"/>
    <s v="Transportation"/>
    <s v="Fuel"/>
    <n v="29.61"/>
    <m/>
    <n v="-2972.6674999999955"/>
    <n v="0"/>
    <m/>
  </r>
  <r>
    <s v="2021"/>
    <s v="Jun"/>
    <x v="131"/>
    <s v="Marshall shopping"/>
    <s v="Shopping"/>
    <s v="Clothes"/>
    <n v="52.99"/>
    <m/>
    <n v="-3025.6574999999953"/>
    <n v="0"/>
    <m/>
  </r>
  <r>
    <s v="2021"/>
    <s v="Jun"/>
    <x v="131"/>
    <s v="Ocean crawfish"/>
    <s v="Food"/>
    <s v="Dining out"/>
    <n v="84.19"/>
    <m/>
    <n v="-3109.8474999999953"/>
    <n v="0"/>
    <m/>
  </r>
  <r>
    <s v="2021"/>
    <s v="Jun"/>
    <x v="132"/>
    <s v="Tea Holic"/>
    <s v="Food"/>
    <s v="Drink"/>
    <n v="5.6"/>
    <m/>
    <n v="-3115.4474999999952"/>
    <n v="0"/>
    <m/>
  </r>
  <r>
    <s v="2021"/>
    <s v="Jun"/>
    <x v="132"/>
    <s v="Pho con bo"/>
    <s v="Food"/>
    <s v="Dining out"/>
    <n v="12.97"/>
    <m/>
    <n v="-3128.417499999995"/>
    <n v="0"/>
    <m/>
  </r>
  <r>
    <s v="2021"/>
    <s v="Jun"/>
    <x v="132"/>
    <s v="Honeywell paycheck"/>
    <s v="Income"/>
    <s v="Job"/>
    <m/>
    <n v="1876.04"/>
    <n v="-1252.3774999999951"/>
    <n v="0"/>
    <m/>
  </r>
  <r>
    <s v="2021"/>
    <s v="Jun"/>
    <x v="133"/>
    <s v="Lims Chicken"/>
    <s v="Food"/>
    <s v="Dining out"/>
    <n v="38.39"/>
    <m/>
    <n v="-1290.7674999999952"/>
    <n v="0"/>
    <m/>
  </r>
  <r>
    <s v="2021"/>
    <s v="Jun"/>
    <x v="133"/>
    <s v="Seattle Trip - car rental"/>
    <s v="Entertainment"/>
    <s v="Travel"/>
    <n v="639.05999999999995"/>
    <m/>
    <n v="-1929.8274999999951"/>
    <n v="0"/>
    <m/>
  </r>
  <r>
    <s v="2021"/>
    <s v="Jun"/>
    <x v="134"/>
    <s v="J Tea"/>
    <s v="Food"/>
    <s v="Drink"/>
    <n v="10.86"/>
    <m/>
    <n v="-1940.687499999995"/>
    <n v="0"/>
    <m/>
  </r>
  <r>
    <s v="2021"/>
    <s v="Jun"/>
    <x v="134"/>
    <s v="Shabu (birthday Kim)"/>
    <s v="Food"/>
    <s v="Dining out"/>
    <n v="145.13"/>
    <m/>
    <n v="-2085.8174999999951"/>
    <n v="0"/>
    <m/>
  </r>
  <r>
    <s v="2021"/>
    <s v="Jun"/>
    <x v="135"/>
    <s v="J Tea"/>
    <s v="Food"/>
    <s v="Drink"/>
    <n v="5.91"/>
    <m/>
    <n v="-2091.727499999995"/>
    <n v="0"/>
    <m/>
  </r>
  <r>
    <s v="2021"/>
    <s v="Jun"/>
    <x v="135"/>
    <s v="Hanh tra Shabu (birthday Kim)"/>
    <s v="Food"/>
    <s v="Dining out"/>
    <n v="-48.38"/>
    <m/>
    <n v="-2043.3474999999949"/>
    <n v="0"/>
    <m/>
  </r>
  <r>
    <s v="2021"/>
    <s v="Jun"/>
    <x v="136"/>
    <s v="Coinbase"/>
    <s v="Savings or Investments"/>
    <s v="Cryptocurrencies"/>
    <n v="200"/>
    <m/>
    <n v="-2243.3474999999949"/>
    <n v="200"/>
    <m/>
  </r>
  <r>
    <s v="2021"/>
    <s v="Jun"/>
    <x v="136"/>
    <s v="Marshall return"/>
    <s v="Shopping"/>
    <s v="Clothes"/>
    <n v="-24.88"/>
    <m/>
    <n v="-2218.4674999999947"/>
    <n v="0"/>
    <m/>
  </r>
  <r>
    <s v="2021"/>
    <s v="Jun"/>
    <x v="136"/>
    <s v="Murgler Alien perfume for Baby"/>
    <s v="Gifts and Donations"/>
    <s v="my love"/>
    <n v="118.47"/>
    <m/>
    <n v="-2336.9374999999945"/>
    <n v="0"/>
    <m/>
  </r>
  <r>
    <s v="2021"/>
    <s v="Jun"/>
    <x v="137"/>
    <s v="Sushi Choo Choo"/>
    <s v="Food"/>
    <s v="Dining out"/>
    <n v="45.46"/>
    <m/>
    <n v="-2382.3974999999946"/>
    <n v="0"/>
    <m/>
  </r>
  <r>
    <s v="2021"/>
    <s v="Jun"/>
    <x v="138"/>
    <s v="Teafix"/>
    <s v="Food"/>
    <s v="Drink"/>
    <n v="13.79"/>
    <m/>
    <n v="-2396.1874999999945"/>
    <n v="0"/>
    <m/>
  </r>
  <r>
    <s v="2021"/>
    <s v="Jun"/>
    <x v="139"/>
    <s v="Tram Teahouse"/>
    <s v="Food"/>
    <s v="Drink"/>
    <n v="5.27"/>
    <m/>
    <n v="-2401.4574999999945"/>
    <n v="0"/>
    <m/>
  </r>
  <r>
    <s v="2021"/>
    <s v="Jun"/>
    <x v="139"/>
    <s v="Kim's Cosmetics"/>
    <s v="Shopping"/>
    <s v="Personal Care Product"/>
    <n v="16.77"/>
    <m/>
    <n v="-2418.2274999999945"/>
    <n v="0"/>
    <m/>
  </r>
  <r>
    <s v="2021"/>
    <s v="Jun"/>
    <x v="139"/>
    <s v="Seattle Trip - car parking"/>
    <s v="Entertainment"/>
    <s v="Travel"/>
    <n v="22.48"/>
    <m/>
    <n v="-2440.7074999999945"/>
    <n v="0"/>
    <m/>
  </r>
  <r>
    <s v="2021"/>
    <s v="Jun"/>
    <x v="139"/>
    <s v="Circle K"/>
    <s v="Transportation"/>
    <s v="Fuel"/>
    <n v="26.21"/>
    <m/>
    <n v="-2466.9174999999946"/>
    <n v="0"/>
    <m/>
  </r>
  <r>
    <s v="2021"/>
    <s v="Jun"/>
    <x v="139"/>
    <s v="American Eagle"/>
    <s v="Shopping"/>
    <s v="Clothes"/>
    <n v="45.96"/>
    <m/>
    <n v="-2512.8774999999946"/>
    <n v="0"/>
    <m/>
  </r>
  <r>
    <s v="2021"/>
    <s v="Jun"/>
    <x v="139"/>
    <s v="Shabu zone with baby"/>
    <s v="Food"/>
    <s v="Dining out"/>
    <n v="68.150000000000006"/>
    <m/>
    <n v="-2581.0274999999947"/>
    <n v="0"/>
    <m/>
  </r>
  <r>
    <s v="2021"/>
    <s v="Jun"/>
    <x v="139"/>
    <s v="Forever 21"/>
    <s v="Shopping"/>
    <s v="Clothes"/>
    <n v="89.79"/>
    <m/>
    <n v="-2670.8174999999947"/>
    <n v="0"/>
    <m/>
  </r>
  <r>
    <s v="2021"/>
    <s v="Jun"/>
    <x v="140"/>
    <s v="Walmart"/>
    <s v="Food"/>
    <s v="Groceries"/>
    <n v="125.14"/>
    <m/>
    <n v="-2795.9574999999945"/>
    <n v="0"/>
    <m/>
  </r>
  <r>
    <s v="2021"/>
    <s v="Jun"/>
    <x v="141"/>
    <s v="Me tra tien Amazon"/>
    <s v="Shopping"/>
    <s v="Amazon"/>
    <n v="-67.41"/>
    <m/>
    <n v="-2728.5474999999947"/>
    <n v="0"/>
    <m/>
  </r>
  <r>
    <s v="2021"/>
    <s v="Jun"/>
    <x v="142"/>
    <s v="Long Coffee"/>
    <s v="Food"/>
    <s v="Drink"/>
    <n v="9.44"/>
    <m/>
    <n v="-2737.9874999999947"/>
    <n v="0"/>
    <m/>
  </r>
  <r>
    <s v="2021"/>
    <s v="Jun"/>
    <x v="142"/>
    <s v="Susuhi 9"/>
    <s v="Food"/>
    <s v="Dining out"/>
    <n v="72.77"/>
    <m/>
    <n v="-2810.7574999999947"/>
    <n v="0"/>
    <m/>
  </r>
  <r>
    <s v="2021"/>
    <s v="Jun"/>
    <x v="143"/>
    <s v="Coinbase"/>
    <s v="Savings or Investments"/>
    <s v="Cryptocurrencies"/>
    <n v="200"/>
    <m/>
    <n v="-3010.7574999999947"/>
    <n v="200"/>
    <m/>
  </r>
  <r>
    <s v="2021"/>
    <s v="Jun"/>
    <x v="143"/>
    <s v="Baby shared for Baby the Cat $30 medical care"/>
    <s v="Pets"/>
    <s v="Medical"/>
    <n v="-30"/>
    <m/>
    <n v="-2980.7574999999947"/>
    <n v="0"/>
    <m/>
  </r>
  <r>
    <s v="2021"/>
    <s v="Jun"/>
    <x v="143"/>
    <s v="Teafix"/>
    <s v="Food"/>
    <s v="Drink"/>
    <n v="14.94"/>
    <m/>
    <n v="-2995.6974999999948"/>
    <n v="0"/>
    <m/>
  </r>
  <r>
    <s v="2021"/>
    <s v="Jun"/>
    <x v="143"/>
    <s v="Baby's medical care"/>
    <s v="Pets"/>
    <s v="Medical"/>
    <n v="130.84"/>
    <m/>
    <n v="-3126.5374999999949"/>
    <n v="0"/>
    <m/>
  </r>
  <r>
    <s v="2021"/>
    <s v="Jul"/>
    <x v="144"/>
    <s v="APPLECARD GSBANK PAYMENT 063021 2552657 Khanh Nguyen"/>
    <s v="Shopping"/>
    <s v="by Apple Card"/>
    <n v="34"/>
    <m/>
    <n v="-3160.5374999999949"/>
    <n v="0"/>
    <s v="WF Checking"/>
  </r>
  <r>
    <s v="2021"/>
    <s v="Jul"/>
    <x v="144"/>
    <s v="ZELLE TO LE TRUCMAI ON 06/30 REF #PP0BTB22TK SPEEDING TICKET DISMISS FOR KHANH NGUYEN"/>
    <s v="Transportation"/>
    <s v="Violaion Fee"/>
    <n v="295"/>
    <m/>
    <n v="-3455.5374999999949"/>
    <n v="0"/>
    <s v="WF Checking"/>
  </r>
  <r>
    <s v="2021"/>
    <s v="Jul"/>
    <x v="144"/>
    <s v="JPMorgan Chase Ext Trnsfr 210701 11858276061 CAM NHUNG T PHAM"/>
    <s v="Housing"/>
    <s v="Mortgage or rent"/>
    <n v="500"/>
    <m/>
    <n v="-3955.5374999999949"/>
    <n v="0"/>
    <s v="WF Checking"/>
  </r>
  <r>
    <s v="2021"/>
    <s v="Jul"/>
    <x v="144"/>
    <s v="WAL-MART #5939"/>
    <s v="Entertainment"/>
    <s v="Travel"/>
    <n v="11.46"/>
    <m/>
    <n v="-3966.9974999999949"/>
    <n v="0"/>
    <s v="Chase Sapphire"/>
  </r>
  <r>
    <s v="2021"/>
    <s v="Jul"/>
    <x v="144"/>
    <s v="TEXACO 0306976"/>
    <s v="Entertainment"/>
    <s v="Travel"/>
    <n v="24.56"/>
    <m/>
    <n v="-3991.5574999999949"/>
    <n v="0"/>
    <s v="Chase Sapphire"/>
  </r>
  <r>
    <s v="2021"/>
    <s v="Jul"/>
    <x v="144"/>
    <s v="Phanh Ky Asian Noodle Hou"/>
    <s v="Entertainment"/>
    <s v="Travel"/>
    <n v="26.71"/>
    <m/>
    <n v="-4018.2674999999949"/>
    <n v="0"/>
    <s v="Chase Sapphire"/>
  </r>
  <r>
    <s v="2021"/>
    <s v="Jul"/>
    <x v="144"/>
    <s v="Pho Duy Noodle House"/>
    <s v="Food"/>
    <s v="Dining out"/>
    <n v="28.82"/>
    <m/>
    <n v="-4047.0874999999951"/>
    <n v="0"/>
    <s v="Chase Sapphire"/>
  </r>
  <r>
    <s v="2021"/>
    <s v="Jul"/>
    <x v="144"/>
    <s v="WAL-MART #5939"/>
    <s v="Entertainment"/>
    <s v="Travel"/>
    <n v="56.58"/>
    <m/>
    <n v="-4103.667499999995"/>
    <n v="0"/>
    <s v="Chase Sapphire"/>
  </r>
  <r>
    <s v="2021"/>
    <s v="Jul"/>
    <x v="145"/>
    <s v="STMNT CRDT GROCERY PURCHS"/>
    <s v="Entertainment"/>
    <s v="Travel"/>
    <n v="5.4"/>
    <m/>
    <n v="-4109.0674999999947"/>
    <n v="0"/>
    <s v="Chase Sapphire"/>
  </r>
  <r>
    <s v="2021"/>
    <s v="Jul"/>
    <x v="145"/>
    <s v="IAHCS-NORTH BRIDGE CIBO"/>
    <s v="Entertainment"/>
    <s v="Travel"/>
    <n v="5.4"/>
    <m/>
    <n v="-4114.4674999999943"/>
    <n v="0"/>
    <s v="Chase Sapphire"/>
  </r>
  <r>
    <s v="2021"/>
    <s v="Jul"/>
    <x v="145"/>
    <s v="RAINIER RESTAURANT AND"/>
    <s v="Entertainment"/>
    <s v="Travel"/>
    <n v="50"/>
    <m/>
    <n v="-4164.4674999999943"/>
    <n v="0"/>
    <s v="Chase Sapphire"/>
  </r>
  <r>
    <s v="2021"/>
    <s v="Jul"/>
    <x v="145"/>
    <s v="AMERICANEXPRESS TRANSFER 000320015883368 NGUYEN,KHANH"/>
    <s v="Savings or Investments"/>
    <s v="Saving Account"/>
    <n v="100"/>
    <m/>
    <n v="-4264.4674999999943"/>
    <n v="100"/>
    <s v="WF Checking"/>
  </r>
  <r>
    <s v="2021"/>
    <s v="Jul"/>
    <x v="145"/>
    <s v="HOTEL MAX"/>
    <s v="Entertainment"/>
    <s v="Travel"/>
    <n v="22.05"/>
    <m/>
    <n v="-4286.5174999999945"/>
    <n v="0"/>
    <s v="Chase Sapphire"/>
  </r>
  <r>
    <s v="2021"/>
    <s v="Jul"/>
    <x v="145"/>
    <s v="Seattle Trip - 5 point café"/>
    <s v="Entertainment"/>
    <s v="Travel"/>
    <n v="34.18"/>
    <m/>
    <n v="-4320.6974999999948"/>
    <n v="0"/>
    <m/>
  </r>
  <r>
    <s v="2021"/>
    <s v="Jul"/>
    <x v="145"/>
    <s v="5 POINT CAFE"/>
    <s v="Entertainment"/>
    <s v="Travel"/>
    <n v="40.18"/>
    <m/>
    <n v="-4360.8774999999951"/>
    <n v="0"/>
    <s v="Chase Sapphire"/>
  </r>
  <r>
    <s v="2021"/>
    <s v="Jul"/>
    <x v="145"/>
    <s v="76 - BACKDHU INC"/>
    <s v="Entertainment"/>
    <s v="Travel"/>
    <n v="41.76"/>
    <m/>
    <n v="-4402.6374999999953"/>
    <n v="0"/>
    <s v="Chase Sapphire"/>
  </r>
  <r>
    <s v="2021"/>
    <s v="Jul"/>
    <x v="145"/>
    <s v="FORTUNE STAR CHINESE REST"/>
    <s v="Entertainment"/>
    <s v="Travel"/>
    <n v="42.88"/>
    <m/>
    <n v="-4445.5174999999954"/>
    <n v="0"/>
    <s v="Chase Sapphire"/>
  </r>
  <r>
    <s v="2021"/>
    <s v="Jul"/>
    <x v="145"/>
    <s v="HONEYWELL INTERN PAYROLL 210627 6776090H NGUYEN,KHANH D"/>
    <s v="Income"/>
    <s v="Job"/>
    <m/>
    <n v="1876.04"/>
    <n v="-2569.4774999999954"/>
    <n v="0"/>
    <s v="WF Checking"/>
  </r>
  <r>
    <s v="2021"/>
    <s v="Jul"/>
    <x v="146"/>
    <s v="WALGREENS #10926"/>
    <s v="Entertainment"/>
    <s v="Travel"/>
    <n v="10.93"/>
    <m/>
    <n v="-2580.4074999999953"/>
    <n v="0"/>
    <s v="Chase Sapphire"/>
  </r>
  <r>
    <s v="2021"/>
    <s v="Jul"/>
    <x v="146"/>
    <s v="CHEVRON 0203582"/>
    <s v="Entertainment"/>
    <s v="Travel"/>
    <n v="35.56"/>
    <m/>
    <n v="-2615.9674999999952"/>
    <n v="0"/>
    <s v="Chase Sapphire"/>
  </r>
  <r>
    <s v="2021"/>
    <s v="Jul"/>
    <x v="147"/>
    <s v="SQ *BOBALUST TEA HOUSE"/>
    <s v="Entertainment"/>
    <s v="Travel"/>
    <n v="12.3"/>
    <m/>
    <n v="-2628.2674999999954"/>
    <n v="0"/>
    <s v="Chase Sapphire"/>
  </r>
  <r>
    <s v="2021"/>
    <s v="Jul"/>
    <x v="147"/>
    <s v="Seattle Trip - Meekong bar restaurant"/>
    <s v="Entertainment"/>
    <s v="Travel"/>
    <n v="37.49"/>
    <m/>
    <n v="-2665.7574999999952"/>
    <n v="0"/>
    <s v="Chase Sapphire"/>
  </r>
  <r>
    <s v="2021"/>
    <s v="Jul"/>
    <x v="147"/>
    <s v="DOUBLETREE SEATTLE AIRPOR"/>
    <s v="Entertainment"/>
    <s v="Travel"/>
    <n v="38"/>
    <m/>
    <n v="-2703.7574999999952"/>
    <n v="0"/>
    <s v="Chase Sapphire"/>
  </r>
  <r>
    <s v="2021"/>
    <s v="Jul"/>
    <x v="147"/>
    <s v="Seattle Trip - O-cha Thai Renton"/>
    <s v="Entertainment"/>
    <s v="Travel"/>
    <n v="41.85"/>
    <m/>
    <n v="-2745.6074999999951"/>
    <n v="0"/>
    <s v="Chase Sapphire"/>
  </r>
  <r>
    <s v="2021"/>
    <s v="Jul"/>
    <x v="147"/>
    <s v="MEEKONG BAR"/>
    <s v="Entertainment"/>
    <s v="Travel"/>
    <n v="43.49"/>
    <m/>
    <n v="-2789.0974999999949"/>
    <n v="0"/>
    <s v="Chase Sapphire"/>
  </r>
  <r>
    <s v="2021"/>
    <s v="Jul"/>
    <x v="147"/>
    <s v="O-CHA THAI RENTON"/>
    <s v="Entertainment"/>
    <s v="Travel"/>
    <n v="49.85"/>
    <m/>
    <n v="-2838.9474999999948"/>
    <n v="0"/>
    <s v="Chase Sapphire"/>
  </r>
  <r>
    <s v="2021"/>
    <s v="Jul"/>
    <x v="147"/>
    <s v="SHELL OIL 57444029904"/>
    <s v="Entertainment"/>
    <s v="Travel"/>
    <n v="50.05"/>
    <m/>
    <n v="-2888.9974999999949"/>
    <n v="0"/>
    <s v="Chase Sapphire"/>
  </r>
  <r>
    <s v="2021"/>
    <s v="Jul"/>
    <x v="147"/>
    <s v="SPACE NEEDLE TICKETS"/>
    <s v="Entertainment"/>
    <s v="Travel"/>
    <n v="119.7"/>
    <m/>
    <n v="-3008.6974999999948"/>
    <n v="0"/>
    <s v="Chase Sapphire"/>
  </r>
  <r>
    <s v="2021"/>
    <s v="Jul"/>
    <x v="148"/>
    <s v="LONG COFFEE - HOUSTON"/>
    <s v="Food"/>
    <s v="Drink"/>
    <n v="4.5"/>
    <m/>
    <n v="-3013.1974999999948"/>
    <n v="0"/>
    <s v="Chase Sapphire"/>
  </r>
  <r>
    <s v="2021"/>
    <s v="Jul"/>
    <x v="148"/>
    <s v="TONY THAI RESTAURANT"/>
    <s v="Food"/>
    <s v="Dining out"/>
    <n v="42.18"/>
    <m/>
    <n v="-3055.3774999999946"/>
    <n v="0"/>
    <s v="Chase Sapphire"/>
  </r>
  <r>
    <s v="2021"/>
    <s v="Jul"/>
    <x v="149"/>
    <s v="RAISING CANE'S #346"/>
    <s v="Food"/>
    <s v="Dining out"/>
    <n v="9"/>
    <m/>
    <n v="-3064.3774999999946"/>
    <n v="0"/>
    <s v="Chase Sapphire"/>
  </r>
  <r>
    <s v="2021"/>
    <s v="Jul"/>
    <x v="149"/>
    <s v="Coinbase.com 7SDQ8FY6 7SDQ8FY6471a DUYEN KHANH T NGUYEN"/>
    <s v="Savings or Investments"/>
    <s v="Cryptocurrencies"/>
    <n v="200"/>
    <m/>
    <n v="-3264.3774999999946"/>
    <n v="200"/>
    <s v="WF Checking"/>
  </r>
  <r>
    <s v="2021"/>
    <s v="Jul"/>
    <x v="149"/>
    <s v="BUSINESS TO BUSINESS ACH TOYOTA ACH RTL 07052021 XVIS2LO9GLKFN1D P00106973-26269"/>
    <s v="Transportation"/>
    <s v="Vehicle payment"/>
    <n v="419.69"/>
    <m/>
    <n v="-3684.0674999999947"/>
    <n v="0"/>
    <s v="WF Checking"/>
  </r>
  <r>
    <s v="2021"/>
    <s v="Jul"/>
    <x v="149"/>
    <s v="AMERICANEXPRESS TRANSFER 000320015883368 NGUYEN,KHANH"/>
    <s v="Savings or Investments"/>
    <s v="Saving Account"/>
    <n v="5000"/>
    <m/>
    <n v="-8684.0674999999937"/>
    <n v="5000"/>
    <s v="WF Checking"/>
  </r>
  <r>
    <s v="2021"/>
    <s v="Jul"/>
    <x v="150"/>
    <s v="FID BKG SVC LLC MONEYLINE 210708 2373226231F112W KHANH T NGUYEN"/>
    <s v="Savings or Investments"/>
    <s v="Retirement account"/>
    <n v="500"/>
    <m/>
    <n v="-9184.0674999999937"/>
    <n v="500"/>
    <s v="WF Checking"/>
  </r>
  <r>
    <s v="2021"/>
    <s v="Jul"/>
    <x v="150"/>
    <s v="MARSHALLS #0608"/>
    <s v="Shopping"/>
    <s v="Clothes"/>
    <n v="99.54"/>
    <m/>
    <n v="-9283.6074999999946"/>
    <n v="0"/>
    <s v="Chase Sapphire"/>
  </r>
  <r>
    <s v="2021"/>
    <s v="Jul"/>
    <x v="151"/>
    <s v="H-E-B #724"/>
    <s v="Food"/>
    <s v="Groceries"/>
    <n v="11.94"/>
    <m/>
    <n v="-9295.5474999999951"/>
    <n v="0"/>
    <s v="Chase Sapphire"/>
  </r>
  <r>
    <s v="2021"/>
    <s v="Jul"/>
    <x v="151"/>
    <s v="PETCO 2441    63524417"/>
    <s v="Pets"/>
    <s v="Pet Food"/>
    <n v="18.11"/>
    <m/>
    <n v="-9313.6574999999957"/>
    <n v="0"/>
    <s v="Chase Sapphire"/>
  </r>
  <r>
    <s v="2021"/>
    <s v="Jul"/>
    <x v="151"/>
    <s v="85C BAKERY CAFE USA"/>
    <s v="Food"/>
    <s v="Dining out"/>
    <n v="24.95"/>
    <m/>
    <n v="-9338.6074999999964"/>
    <n v="0"/>
    <s v="Chase Sapphire"/>
  </r>
  <r>
    <s v="2021"/>
    <s v="Jul"/>
    <x v="151"/>
    <s v="KURA REVOLVING SUSHI BAR"/>
    <s v="Food"/>
    <s v="Dining out"/>
    <n v="33.58"/>
    <m/>
    <n v="-9372.1874999999964"/>
    <n v="0"/>
    <s v="Chase Sapphire"/>
  </r>
  <r>
    <s v="2021"/>
    <s v="Jul"/>
    <x v="151"/>
    <s v="Amazon.com*295K96VG2"/>
    <s v="Shopping"/>
    <s v="Amazon"/>
    <n v="51.94"/>
    <m/>
    <n v="-9424.1274999999969"/>
    <n v="0"/>
    <s v="Chase Sapphire"/>
  </r>
  <r>
    <s v="2021"/>
    <s v="Jul"/>
    <x v="151"/>
    <s v="ROSARY DENTAL"/>
    <s v="Personal Care"/>
    <s v="Teeth"/>
    <n v="630"/>
    <m/>
    <n v="-10054.127499999997"/>
    <n v="0"/>
    <s v="Chase Sapphire"/>
  </r>
  <r>
    <s v="2021"/>
    <s v="Jul"/>
    <x v="152"/>
    <s v="STMNT CRDT GROCERY PURCHS"/>
    <s v="Food"/>
    <s v="Groceries"/>
    <n v="-34.479999999999997"/>
    <m/>
    <n v="-10019.647499999997"/>
    <n v="0"/>
    <s v="Chase Sapphire"/>
  </r>
  <r>
    <s v="2021"/>
    <s v="Jul"/>
    <x v="152"/>
    <s v="Phanh Ky Hu Tieu Mi My Th"/>
    <s v="Food"/>
    <s v="Dining out"/>
    <n v="28.34"/>
    <m/>
    <n v="-10047.987499999997"/>
    <n v="0"/>
    <s v="Chase Sapphire"/>
  </r>
  <r>
    <s v="2021"/>
    <s v="Jul"/>
    <x v="152"/>
    <s v="WAL-MART #3302"/>
    <s v="Food"/>
    <s v="Groceries"/>
    <n v="59.72"/>
    <m/>
    <n v="-10107.707499999997"/>
    <n v="0"/>
    <s v="Chase Sapphire"/>
  </r>
  <r>
    <s v="2021"/>
    <s v="Jul"/>
    <x v="153"/>
    <s v="EXXONMOBIL    48053474"/>
    <s v="Transportation"/>
    <s v="Fuel"/>
    <n v="30.13"/>
    <m/>
    <n v="-10137.837499999996"/>
    <n v="0"/>
    <s v="Chase Sapphire"/>
  </r>
  <r>
    <s v="2021"/>
    <s v="Jul"/>
    <x v="154"/>
    <s v="SAFE BOX ANNUAL FEE TX-FIB00056-00848"/>
    <s v="Other"/>
    <s v="Safebox fee"/>
    <n v="50"/>
    <m/>
    <n v="-10187.837499999996"/>
    <n v="0"/>
    <s v="WF Checking"/>
  </r>
  <r>
    <s v="2021"/>
    <s v="Jul"/>
    <x v="154"/>
    <s v="PURCHASE AUTHORIZED ON 07/12 H MART - HOUSTON II HOUSTON TX P00461193599671889 CARD 1700"/>
    <s v="Food"/>
    <s v="Groceries"/>
    <n v="7.57"/>
    <m/>
    <n v="-10195.407499999996"/>
    <n v="0"/>
    <s v="WF Checking"/>
  </r>
  <r>
    <s v="2021"/>
    <s v="Jul"/>
    <x v="154"/>
    <s v="PURCHASE AUTHORIZED ON 07/12 H MART - HOUSTON II HOUSTON TX P00301193600552751 CARD 1700"/>
    <s v="Food"/>
    <s v="Groceries"/>
    <n v="11.9"/>
    <m/>
    <n v="-10207.307499999995"/>
    <n v="0"/>
    <s v="WF Checking"/>
  </r>
  <r>
    <s v="2021"/>
    <s v="Jul"/>
    <x v="154"/>
    <s v="PURCHASE AUTHORIZED ON 07/10 WAL-MART #3302 HOUSTON TX P00000000979528118 CARD 1700"/>
    <s v="Food"/>
    <s v="Groceries"/>
    <n v="18.02"/>
    <m/>
    <n v="-10225.327499999996"/>
    <n v="0"/>
    <s v="WF Checking"/>
  </r>
  <r>
    <s v="2021"/>
    <s v="Jul"/>
    <x v="155"/>
    <s v="PURCHASE AUTHORIZED ON 07/11 J TEA Houston TX S581192706406318 CARD 1700"/>
    <s v="Food"/>
    <s v="Drink"/>
    <n v="12.45"/>
    <m/>
    <n v="-10237.777499999997"/>
    <n v="0"/>
    <s v="WF Checking"/>
  </r>
  <r>
    <s v="2021"/>
    <s v="Jul"/>
    <x v="155"/>
    <s v="HANDAM BBQ 14500000744388HOUSTON TX"/>
    <s v="Food"/>
    <s v="Dining out"/>
    <n v="92.98"/>
    <m/>
    <n v="-10330.757499999996"/>
    <n v="0"/>
    <s v="WF Propel"/>
  </r>
  <r>
    <s v="2021"/>
    <s v="Jul"/>
    <x v="156"/>
    <s v="Coinbase.com XR3ASK7V XR3ASK7V471a DUYEN KHANH T NGUYEN"/>
    <s v="Savings or Investments"/>
    <s v="Cryptocurrencies"/>
    <n v="200"/>
    <m/>
    <n v="-10530.757499999996"/>
    <n v="200"/>
    <s v="WF Checking"/>
  </r>
  <r>
    <s v="2021"/>
    <s v="Jul"/>
    <x v="156"/>
    <s v="MARSHALLS #0585"/>
    <s v="Shopping"/>
    <s v="Clothes"/>
    <n v="56.26"/>
    <m/>
    <n v="-10587.017499999996"/>
    <n v="0"/>
    <s v="Chase Sapphire"/>
  </r>
  <r>
    <s v="2021"/>
    <s v="Jul"/>
    <x v="156"/>
    <s v="HOUSTON BIKE SHARE HOUSTON TX"/>
    <s v="Entertainment"/>
    <s v="Biking"/>
    <n v="3.24"/>
    <m/>
    <n v="-10590.257499999996"/>
    <n v="0"/>
    <s v="WF Propel"/>
  </r>
  <r>
    <s v="2021"/>
    <s v="Jul"/>
    <x v="156"/>
    <s v="HOUSTON BIKE SHARE HOUSTON TX"/>
    <s v="Entertainment"/>
    <s v="Biking"/>
    <n v="3.24"/>
    <m/>
    <n v="-10593.497499999996"/>
    <n v="0"/>
    <s v="WF Propel"/>
  </r>
  <r>
    <s v="2021"/>
    <s v="Jul"/>
    <x v="156"/>
    <s v="CITY W BISTRO 3187 HOUSTON TX"/>
    <s v="Food"/>
    <s v="Dining out"/>
    <n v="8.1199999999999992"/>
    <m/>
    <n v="-10601.617499999997"/>
    <n v="0"/>
    <s v="WF Propel"/>
  </r>
  <r>
    <s v="2021"/>
    <s v="Jul"/>
    <x v="156"/>
    <s v="CHEVRON 0352441/CHEVRON HOUSTON TX"/>
    <s v="Food"/>
    <s v="Drink"/>
    <n v="4.84"/>
    <m/>
    <n v="-10606.457499999997"/>
    <n v="0"/>
    <s v="WF Propel"/>
  </r>
  <r>
    <s v="2021"/>
    <s v="Jul"/>
    <x v="157"/>
    <s v="HONEYWELL INTERN PAYROLL 210711 6776090H NGUYEN,KHANH D"/>
    <s v="Income"/>
    <s v="job"/>
    <m/>
    <n v="1876.04"/>
    <n v="-8730.4174999999959"/>
    <n v="0"/>
    <s v="WF Checking"/>
  </r>
  <r>
    <s v="2021"/>
    <s v="Jul"/>
    <x v="158"/>
    <s v="MCDONALD'S F2708 00000000HOUSTON TX"/>
    <s v="Food"/>
    <s v="Drink"/>
    <n v="9.48"/>
    <m/>
    <n v="-8739.8974999999955"/>
    <n v="0"/>
    <s v="WF Propel"/>
  </r>
  <r>
    <s v="2021"/>
    <s v="Jul"/>
    <x v="158"/>
    <s v="WHATABURGER 1019 HOUSTON TX"/>
    <s v="Food"/>
    <s v="Dining out"/>
    <n v="6.75"/>
    <m/>
    <n v="-8746.6474999999955"/>
    <n v="0"/>
    <s v="WF Propel"/>
  </r>
  <r>
    <s v="2021"/>
    <s v="Jul"/>
    <x v="159"/>
    <s v="MCDONALD'S F2708 00000000HOUSTON TX"/>
    <s v="Food"/>
    <s v="Dining out"/>
    <n v="10.35"/>
    <m/>
    <n v="-8756.9974999999959"/>
    <n v="0"/>
    <s v="WF Propel"/>
  </r>
  <r>
    <s v="2021"/>
    <s v="Jul"/>
    <x v="159"/>
    <s v="HONG KONG FOOD MARKET #4 HOUSTON TX"/>
    <s v="Gifts and Donations"/>
    <s v="Family"/>
    <n v="178.29"/>
    <m/>
    <n v="-8935.2874999999967"/>
    <n v="0"/>
    <s v="WF Propel"/>
  </r>
  <r>
    <s v="2021"/>
    <s v="Jul"/>
    <x v="159"/>
    <s v="EXXONMOBIL 4805 HOUSTON TX"/>
    <s v="Transportation"/>
    <s v="Fuel"/>
    <n v="35.03"/>
    <m/>
    <n v="-8970.3174999999974"/>
    <n v="0"/>
    <s v="WF Propel"/>
  </r>
  <r>
    <s v="2021"/>
    <s v="Jul"/>
    <x v="160"/>
    <s v="PURCHASE AUTHORIZED ON 07/18 7 LEAVES HOUSTON 2 HOUSTON TX S461199680759631 CARD 1700"/>
    <s v="Food"/>
    <s v="Drink"/>
    <n v="11.61"/>
    <m/>
    <n v="-8981.927499999998"/>
    <n v="0"/>
    <s v="WF Checking"/>
  </r>
  <r>
    <s v="2021"/>
    <s v="Jul"/>
    <x v="160"/>
    <s v="J TEA HOUSTON TX"/>
    <s v="Food"/>
    <s v="Drink"/>
    <n v="12.78"/>
    <m/>
    <n v="-8994.7074999999986"/>
    <n v="0"/>
    <s v="WF Propel"/>
  </r>
  <r>
    <s v="2021"/>
    <s v="Jul"/>
    <x v="160"/>
    <s v="KOKEE TEA 00-08035580011 SUGAR LAND TX"/>
    <s v="Food"/>
    <s v="Drink"/>
    <n v="8.7100000000000009"/>
    <m/>
    <n v="-9003.4174999999977"/>
    <n v="0"/>
    <s v="WF Propel"/>
  </r>
  <r>
    <s v="2021"/>
    <s v="Jul"/>
    <x v="161"/>
    <s v="PURCHASE AUTHORIZED ON 07/19 COSTCO GAS #1146 SUGAR LAND TX P00381201044471235 CARD 1700"/>
    <s v="Transportation"/>
    <s v="Fuel"/>
    <n v="17.39"/>
    <m/>
    <n v="-9020.8074999999972"/>
    <n v="0"/>
    <s v="WF Checking"/>
  </r>
  <r>
    <s v="2021"/>
    <s v="Jul"/>
    <x v="162"/>
    <s v="Coinbase.com HPBJWYKM HPBJWYKM471a DUYEN KHANH T NGUYEN"/>
    <s v="Savings or Investments"/>
    <s v="Cryptocurrencies"/>
    <n v="200"/>
    <m/>
    <n v="-9220.8074999999972"/>
    <n v="200"/>
    <s v="WF Checking"/>
  </r>
  <r>
    <s v="2021"/>
    <s v="Jul"/>
    <x v="162"/>
    <s v="OCEAN CRAWFISH"/>
    <s v="Food"/>
    <s v="Dining out"/>
    <n v="72.73"/>
    <m/>
    <n v="-9293.5374999999967"/>
    <n v="0"/>
    <s v="Chase Sapphire"/>
  </r>
  <r>
    <s v="2021"/>
    <s v="Jul"/>
    <x v="163"/>
    <s v="J TEA"/>
    <s v="Food"/>
    <s v="Drink"/>
    <n v="6.84"/>
    <m/>
    <n v="-9300.3774999999969"/>
    <n v="0"/>
    <s v="Chase Sapphire"/>
  </r>
  <r>
    <s v="2021"/>
    <s v="Jul"/>
    <x v="163"/>
    <s v="DAKAO RESTAURANT AND B HOUSTON TX"/>
    <s v="Food"/>
    <s v="Dining out"/>
    <n v="19.899999999999999"/>
    <m/>
    <n v="-9320.2774999999965"/>
    <n v="0"/>
    <s v="WF Propel"/>
  </r>
  <r>
    <s v="2021"/>
    <s v="Jul"/>
    <x v="164"/>
    <s v="RAISING CANE'S #346"/>
    <s v="Food"/>
    <s v="Dining out"/>
    <n v="9"/>
    <m/>
    <n v="-9329.2774999999965"/>
    <n v="0"/>
    <s v="Chase Sapphire"/>
  </r>
  <r>
    <s v="2021"/>
    <s v="Jul"/>
    <x v="164"/>
    <s v="T H SALON 168"/>
    <s v="Personal Care"/>
    <s v="Hair/nails"/>
    <n v="30"/>
    <m/>
    <n v="-9359.2774999999965"/>
    <n v="0"/>
    <s v="Chase Sapphire"/>
  </r>
  <r>
    <s v="2021"/>
    <s v="Jul"/>
    <x v="164"/>
    <s v="H-E-B #724"/>
    <s v="Food"/>
    <s v="Groceries"/>
    <n v="29.42"/>
    <m/>
    <n v="-9388.6974999999966"/>
    <n v="0"/>
    <s v="Chase Sapphire"/>
  </r>
  <r>
    <s v="2021"/>
    <s v="Jul"/>
    <x v="164"/>
    <s v="TBMBM"/>
    <s v="Shopping"/>
    <s v="Personal Care Product"/>
    <n v="263.32"/>
    <m/>
    <n v="-9652.0174999999963"/>
    <n v="0"/>
    <s v="Chase Sapphire"/>
  </r>
  <r>
    <s v="2021"/>
    <s v="Jul"/>
    <x v="165"/>
    <s v="MCDONALD'S F2708"/>
    <s v="Food"/>
    <s v="Dining out"/>
    <n v="6.46"/>
    <m/>
    <n v="-9658.4774999999954"/>
    <n v="0"/>
    <s v="Chase Sapphire"/>
  </r>
  <r>
    <s v="2021"/>
    <s v="Jul"/>
    <x v="165"/>
    <s v="EXXONMOBIL    48053474"/>
    <s v="Transportation"/>
    <s v="Fuel"/>
    <n v="30.91"/>
    <m/>
    <n v="-9689.3874999999953"/>
    <n v="0"/>
    <s v="Chase Sapphire"/>
  </r>
  <r>
    <s v="2021"/>
    <s v="Jul"/>
    <x v="165"/>
    <s v="KURA REVOLVING SUSHI BAR"/>
    <s v="Food"/>
    <s v="Dining out"/>
    <n v="46.39"/>
    <m/>
    <n v="-9735.7774999999947"/>
    <n v="0"/>
    <s v="Chase Sapphire"/>
  </r>
  <r>
    <s v="2021"/>
    <s v="Jul"/>
    <x v="166"/>
    <s v="TST* MAGIC CUP - HOUSTON HOUSTON TX"/>
    <s v="Food"/>
    <s v="Drink"/>
    <n v="14.6"/>
    <m/>
    <n v="-9750.3774999999951"/>
    <n v="0"/>
    <s v="WF Propel"/>
  </r>
  <r>
    <s v="2021"/>
    <s v="Jul"/>
    <x v="167"/>
    <s v="Coinbase.com RY6ZR89H RY6ZR89H471a DUYEN KHANH T NGUYEN"/>
    <s v="Savings or Investments"/>
    <s v="Cryptocurrencies"/>
    <n v="200"/>
    <m/>
    <n v="-9950.3774999999951"/>
    <n v="200"/>
    <s v="WF Checking"/>
  </r>
  <r>
    <s v="2021"/>
    <s v="Jul"/>
    <x v="168"/>
    <s v="J TEA"/>
    <s v="Food"/>
    <s v="Drink"/>
    <n v="13.74"/>
    <m/>
    <n v="-9964.1174999999948"/>
    <n v="0"/>
    <m/>
  </r>
  <r>
    <s v="2021"/>
    <s v="Jul"/>
    <x v="168"/>
    <s v="HOA MAP HU TIEU GO"/>
    <s v="Food"/>
    <s v="Dining out"/>
    <n v="12.27"/>
    <m/>
    <n v="-9976.3874999999953"/>
    <n v="0"/>
    <m/>
  </r>
  <r>
    <s v="2021"/>
    <s v="Jul"/>
    <x v="168"/>
    <s v="J TEA"/>
    <s v="Food"/>
    <s v="Drink"/>
    <n v="13.74"/>
    <m/>
    <n v="-9990.1274999999951"/>
    <n v="0"/>
    <m/>
  </r>
  <r>
    <s v="2021"/>
    <s v="Jul"/>
    <x v="168"/>
    <s v="HOA MAP HU TIEU GO"/>
    <s v="Food"/>
    <s v="Dining out"/>
    <n v="12.27"/>
    <m/>
    <n v="-10002.397499999995"/>
    <n v="0"/>
    <m/>
  </r>
  <r>
    <s v="2021"/>
    <s v="Aug"/>
    <x v="169"/>
    <s v="JPMorgan Chase Ext Trnsfr 210730 12073858804 CAM NHUNG T PHAM"/>
    <s v="Housing"/>
    <s v="Mortgage or rent"/>
    <n v="500"/>
    <m/>
    <n v="-10502.397499999995"/>
    <n v="0"/>
    <s v="WF Checking"/>
  </r>
  <r>
    <s v="2021"/>
    <s v="Jul"/>
    <x v="170"/>
    <s v="HONEYWELL INTERN PAYROLL 210725 6776090H NGUYEN,KHANH D"/>
    <s v="Income"/>
    <s v="Job"/>
    <m/>
    <n v="1876.04"/>
    <n v="-8626.3574999999946"/>
    <n v="0"/>
    <s v="WF Checking"/>
  </r>
  <r>
    <s v="2021"/>
    <s v="Jul"/>
    <x v="170"/>
    <s v="SMILEDIRECTCLUB"/>
    <s v="Personal Care"/>
    <s v="Teeth"/>
    <n v="1800"/>
    <m/>
    <n v="-10426.357499999995"/>
    <n v="0"/>
    <s v="Chase Sapphire"/>
  </r>
  <r>
    <s v="2021"/>
    <s v="Jul"/>
    <x v="170"/>
    <s v="DAKAO RESTAURANT AND BAR"/>
    <s v="Food"/>
    <s v="Dining out"/>
    <n v="30.64"/>
    <m/>
    <n v="-10456.997499999994"/>
    <n v="0"/>
    <m/>
  </r>
  <r>
    <s v="2021"/>
    <s v="Jul"/>
    <x v="170"/>
    <s v="DAKAO RESTAURANT AND BAR"/>
    <s v="Food"/>
    <s v="Dining out"/>
    <n v="30.64"/>
    <m/>
    <n v="-10487.637499999993"/>
    <n v="0"/>
    <m/>
  </r>
  <r>
    <s v="2021"/>
    <s v="Jul"/>
    <x v="171"/>
    <s v="J TEA"/>
    <s v="Food"/>
    <s v="Drink"/>
    <n v="7.02"/>
    <m/>
    <n v="-10494.657499999994"/>
    <n v="0"/>
    <m/>
  </r>
  <r>
    <s v="2021"/>
    <s v="Jul"/>
    <x v="171"/>
    <s v="WAL-MART #3509"/>
    <s v="Food"/>
    <s v="Groceries"/>
    <n v="73.03"/>
    <m/>
    <n v="-10567.687499999995"/>
    <n v="0"/>
    <m/>
  </r>
  <r>
    <s v="2021"/>
    <s v="Jul"/>
    <x v="171"/>
    <s v="DAC HUNG BBQ"/>
    <s v="Food"/>
    <s v="Dining out"/>
    <n v="18.690000000000001"/>
    <m/>
    <n v="-10586.377499999995"/>
    <n v="0"/>
    <m/>
  </r>
  <r>
    <s v="2021"/>
    <s v="Jul"/>
    <x v="171"/>
    <s v="J TEA"/>
    <s v="Food"/>
    <s v="Drink"/>
    <n v="7.02"/>
    <m/>
    <n v="-10593.397499999995"/>
    <n v="0"/>
    <m/>
  </r>
  <r>
    <s v="2021"/>
    <s v="Jul"/>
    <x v="171"/>
    <s v="WAL-MART #3509"/>
    <s v="Food"/>
    <s v="Groceries"/>
    <n v="73.03"/>
    <m/>
    <n v="-10666.427499999996"/>
    <n v="0"/>
    <m/>
  </r>
  <r>
    <s v="2021"/>
    <s v="Jul"/>
    <x v="171"/>
    <s v="DAC HUNG BBQ"/>
    <s v="Food"/>
    <s v="Dining out"/>
    <n v="18.690000000000001"/>
    <m/>
    <n v="-10685.117499999997"/>
    <n v="0"/>
    <m/>
  </r>
  <r>
    <s v="2021"/>
    <s v="Aug"/>
    <x v="169"/>
    <s v="J TEA"/>
    <s v="Food"/>
    <s v="Drink"/>
    <n v="12.45"/>
    <m/>
    <n v="-10697.567499999997"/>
    <n v="0"/>
    <s v="Chase Sapphire"/>
  </r>
  <r>
    <s v="2021"/>
    <s v="Aug"/>
    <x v="169"/>
    <s v="MMS-MHHS-SOUTHEAST HSP 54HOUSTON TX"/>
    <s v="Transportation"/>
    <s v="Fuel"/>
    <n v="5.82"/>
    <m/>
    <n v="-10703.387499999997"/>
    <n v="0"/>
    <s v="WF Propel"/>
  </r>
  <r>
    <s v="2021"/>
    <s v="Aug"/>
    <x v="172"/>
    <s v="APPLECARD GSBANK PAYMENT 073121 2552657 Khanh Nguyen"/>
    <s v="Shopping"/>
    <s v="by Apple Card"/>
    <n v="3.24"/>
    <m/>
    <n v="-10706.627499999997"/>
    <n v="0"/>
    <s v="WF Checking"/>
  </r>
  <r>
    <s v="2021"/>
    <s v="Aug"/>
    <x v="172"/>
    <s v="ZELLE FROM NGUYEN NGUYEN ON 08/02 REF # PP0C3J9373"/>
    <s v="Food"/>
    <s v="Dining out"/>
    <n v="-29"/>
    <m/>
    <n v="-10677.627499999997"/>
    <n v="0"/>
    <s v="WF Checking"/>
  </r>
  <r>
    <s v="2021"/>
    <s v="Aug"/>
    <x v="172"/>
    <s v="WM SUPERCENTER #3509"/>
    <s v="Food"/>
    <s v="Groceries"/>
    <n v="79.260000000000005"/>
    <m/>
    <n v="-10756.887499999997"/>
    <n v="0"/>
    <s v="Chase Sapphire"/>
  </r>
  <r>
    <s v="2021"/>
    <s v="Aug"/>
    <x v="173"/>
    <s v="CIRCLE K #2741464"/>
    <s v="Transportation"/>
    <s v="Fuel"/>
    <n v="32.369999999999997"/>
    <m/>
    <n v="-10789.257499999998"/>
    <n v="0"/>
    <s v="Chase Sapphire"/>
  </r>
  <r>
    <s v="2021"/>
    <s v="Aug"/>
    <x v="173"/>
    <s v="BWW 3339 SUGAR LAND TX"/>
    <s v="Food"/>
    <s v="Dining out"/>
    <n v="44.1"/>
    <m/>
    <n v="-10833.357499999998"/>
    <n v="0"/>
    <s v="Chase Sapphire"/>
  </r>
  <r>
    <s v="2021"/>
    <s v="Aug"/>
    <x v="173"/>
    <s v="AMERICANEXPRESS TRANSFER 000320015883368 NGUYEN,KHANH"/>
    <s v="Savings or Investments"/>
    <s v="Saving Account"/>
    <n v="100"/>
    <m/>
    <n v="-10933.357499999998"/>
    <n v="100"/>
    <s v="WF Checking"/>
  </r>
  <r>
    <s v="2021"/>
    <s v="Aug"/>
    <x v="173"/>
    <s v="WESTERN UNION FI TRANSFER 210803 121184358867394 KHANH NGUYEN"/>
    <s v="Gifts and Donations"/>
    <s v="Family"/>
    <n v="100"/>
    <m/>
    <n v="-11033.357499999998"/>
    <n v="0"/>
    <s v="WF Checking"/>
  </r>
  <r>
    <s v="2021"/>
    <s v="Aug"/>
    <x v="174"/>
    <s v="OCEAN CRAWFISH"/>
    <s v="Food"/>
    <s v="Dining out"/>
    <n v="90.78"/>
    <m/>
    <n v="-11124.137499999999"/>
    <n v="0"/>
    <s v="Chase Sapphire"/>
  </r>
  <r>
    <s v="2021"/>
    <s v="Aug"/>
    <x v="174"/>
    <s v="Coinbase.com RERFZNA2 RERFZNA2471a DUYEN KHANH T NGUYEN"/>
    <s v="Savings or Investments"/>
    <s v="Cryptocurrencies"/>
    <n v="200"/>
    <m/>
    <n v="-11324.137499999999"/>
    <n v="200"/>
    <s v="WF Checking"/>
  </r>
  <r>
    <s v="2021"/>
    <s v="Aug"/>
    <x v="174"/>
    <s v="ZELLE FROM NGUYEN NGUYEN ON 08/04 REF # PP0C3XCK6J"/>
    <s v="Food"/>
    <s v="Dining out"/>
    <n v="-45.39"/>
    <m/>
    <n v="-11278.747499999999"/>
    <n v="0"/>
    <s v="WF Checking"/>
  </r>
  <r>
    <s v="2021"/>
    <s v="Aug"/>
    <x v="175"/>
    <s v="PHO DIEN"/>
    <s v="Food"/>
    <s v="Dining out"/>
    <n v="11.37"/>
    <m/>
    <n v="-11290.1175"/>
    <n v="0"/>
    <s v="Chase Sapphire"/>
  </r>
  <r>
    <s v="2021"/>
    <s v="Aug"/>
    <x v="176"/>
    <s v="H MART - HOUSTON II"/>
    <s v="Food"/>
    <s v="Groceries"/>
    <n v="53.95"/>
    <m/>
    <n v="-11344.067500000001"/>
    <n v="0"/>
    <s v="Chase Sapphire"/>
  </r>
  <r>
    <s v="2021"/>
    <s v="Aug"/>
    <x v="176"/>
    <s v="TOP SUSHI - RICHMOND"/>
    <s v="Food"/>
    <s v="Dining out"/>
    <n v="50"/>
    <m/>
    <n v="-11394.067500000001"/>
    <n v="0"/>
    <s v="Chase Sapphire"/>
  </r>
  <r>
    <s v="2021"/>
    <s v="Aug"/>
    <x v="176"/>
    <s v="CHAO LONG THANG MO"/>
    <s v="Food"/>
    <s v="Dining out"/>
    <n v="13.85"/>
    <m/>
    <n v="-11407.917500000001"/>
    <n v="0"/>
    <s v="Chase Sapphire"/>
  </r>
  <r>
    <s v="2021"/>
    <s v="Aug"/>
    <x v="176"/>
    <s v="J TEA"/>
    <s v="Food"/>
    <s v="Drink"/>
    <n v="6.84"/>
    <m/>
    <n v="-11414.757500000002"/>
    <n v="0"/>
    <s v="Chase Sapphire"/>
  </r>
  <r>
    <s v="2021"/>
    <s v="Aug"/>
    <x v="177"/>
    <s v="BOBA ISLAND"/>
    <s v="Food"/>
    <s v="Drink"/>
    <n v="10.72"/>
    <m/>
    <n v="-11425.477500000001"/>
    <n v="0"/>
    <s v="Chase Sapphire"/>
  </r>
  <r>
    <s v="2021"/>
    <s v="Aug"/>
    <x v="178"/>
    <s v="Coinbase.com YGJCYVTP YGJCYVTP471a DUYEN KHANH T NGUYEN"/>
    <s v="Savings or Investments"/>
    <s v="Cryptocurrencies"/>
    <n v="200"/>
    <m/>
    <n v="-11625.477500000001"/>
    <n v="200"/>
    <s v="WF Checking"/>
  </r>
  <r>
    <s v="2021"/>
    <s v="Aug"/>
    <x v="178"/>
    <s v="Coinbase.com B67YLV8L B67YLV8L471a DUYEN KHANH T NGUYEN"/>
    <s v="Savings or Investments"/>
    <s v="Cryptocurrencies"/>
    <n v="100"/>
    <m/>
    <n v="-11725.477500000001"/>
    <n v="100"/>
    <s v="WF Checking"/>
  </r>
  <r>
    <s v="2021"/>
    <s v="Aug"/>
    <x v="178"/>
    <s v="FID BKG SVC LLC MONEYLINE 210809 2373226231GWHEX KHANH T NGUYEN"/>
    <s v="Savings or Investments"/>
    <s v="Retirement account"/>
    <n v="500"/>
    <m/>
    <n v="-12225.477500000001"/>
    <n v="500"/>
    <s v="WF Checking"/>
  </r>
  <r>
    <s v="2021"/>
    <s v="Aug"/>
    <x v="178"/>
    <s v="BUSINESS TO BUSINESS ACH TOYOTA ACH RTL 08062021 XWPL4N2XAIHFK8G P00846818-26269"/>
    <s v="Transportation"/>
    <s v="Vehicle payment"/>
    <n v="419.69"/>
    <m/>
    <n v="-12645.167500000001"/>
    <n v="0"/>
    <s v="WF Checking"/>
  </r>
  <r>
    <s v="2021"/>
    <s v="Aug"/>
    <x v="178"/>
    <s v="Phanh Ky Hu Tieu Mi My Th"/>
    <s v="Food"/>
    <s v="Dining out"/>
    <n v="13.56"/>
    <m/>
    <n v="-12658.727500000001"/>
    <n v="0"/>
    <s v="Chase Sapphire"/>
  </r>
  <r>
    <s v="2021"/>
    <s v="Aug"/>
    <x v="178"/>
    <s v="J TEA"/>
    <s v="Food"/>
    <s v="Drink"/>
    <n v="7.02"/>
    <m/>
    <n v="-12665.747500000001"/>
    <n v="0"/>
    <s v="Chase Sapphire"/>
  </r>
  <r>
    <s v="2021"/>
    <s v="Aug"/>
    <x v="179"/>
    <s v="PHO DIEN HOUSTON TX"/>
    <s v="Food"/>
    <s v="Dining out"/>
    <n v="20.89"/>
    <m/>
    <n v="-12686.637500000001"/>
    <n v="0"/>
    <s v="WF Propel"/>
  </r>
  <r>
    <s v="2021"/>
    <s v="Aug"/>
    <x v="179"/>
    <s v="TEAFIX 0000 HOUSTON TX"/>
    <s v="Food"/>
    <s v="Drink"/>
    <n v="13.75"/>
    <m/>
    <n v="-12700.387500000001"/>
    <n v="0"/>
    <s v="WF Propel"/>
  </r>
  <r>
    <s v="2021"/>
    <s v="Aug"/>
    <x v="179"/>
    <s v="Apple Cash TRANSFER Khanh Nguyen Khanh Nguyen"/>
    <s v="Income"/>
    <s v="Bank Profit"/>
    <m/>
    <n v="2.41"/>
    <n v="-12697.977500000001"/>
    <n v="0"/>
    <s v="WF Checking"/>
  </r>
  <r>
    <s v="2021"/>
    <s v="Aug"/>
    <x v="179"/>
    <s v="EXXONMOBIL    48132914"/>
    <s v="Transportation"/>
    <s v="Fuel"/>
    <n v="30.54"/>
    <m/>
    <n v="-12728.517500000002"/>
    <n v="0"/>
    <s v="Chase Sapphire"/>
  </r>
  <r>
    <s v="2021"/>
    <s v="Aug"/>
    <x v="180"/>
    <s v="WHATABURGER 432    Q26"/>
    <s v="Food"/>
    <s v="Dining out"/>
    <n v="11.56"/>
    <m/>
    <n v="-12740.077500000001"/>
    <n v="0"/>
    <s v="Chase Sapphire"/>
  </r>
  <r>
    <s v="2021"/>
    <s v="Aug"/>
    <x v="181"/>
    <s v="PURCHASE AUTHORIZED ON 08/12 COSTCO WHSE #1146 SUGAR LAND TX P00581224852533727 CARD 1700"/>
    <s v="Food"/>
    <s v="Groceries"/>
    <n v="36.46"/>
    <m/>
    <n v="-12776.5375"/>
    <n v="0"/>
    <s v="WF Checking"/>
  </r>
  <r>
    <s v="2021"/>
    <s v="Aug"/>
    <x v="181"/>
    <s v="ZELLE TO BABY ON 08/12 REF #RP0C5HM29Q INVESTMENT FOR BABY"/>
    <s v="Gifts and Donations"/>
    <s v="my love"/>
    <n v="500"/>
    <m/>
    <n v="-13276.5375"/>
    <n v="0"/>
    <s v="WF Checking"/>
  </r>
  <r>
    <s v="2021"/>
    <s v="Aug"/>
    <x v="181"/>
    <s v="ZELLE FROM NGUYEN NGUYEN ON 08/12 REF # PP0C5MBRHL"/>
    <s v="Income"/>
    <s v="Food Delivery Job"/>
    <m/>
    <n v="11"/>
    <n v="-13265.5375"/>
    <n v="0"/>
    <s v="WF Checking"/>
  </r>
  <r>
    <s v="2021"/>
    <s v="Aug"/>
    <x v="181"/>
    <s v="365 Market D 888 432-3299"/>
    <s v="Food"/>
    <s v="Groceries"/>
    <n v="4.21"/>
    <m/>
    <n v="-13269.747499999999"/>
    <n v="0"/>
    <s v="Chase Sapphire"/>
  </r>
  <r>
    <s v="2021"/>
    <s v="Aug"/>
    <x v="182"/>
    <s v="SHELL OIL 12567205005 HOUSTON TX"/>
    <s v="Transportation"/>
    <s v="Fuel"/>
    <n v="1.83"/>
    <m/>
    <n v="-13271.577499999999"/>
    <n v="0"/>
    <s v="WF Propel"/>
  </r>
  <r>
    <s v="2021"/>
    <s v="Aug"/>
    <x v="182"/>
    <s v="H MART - HOUSTON II 1724 HOUSTON TX"/>
    <s v="Food"/>
    <s v="Groceries"/>
    <n v="95.73"/>
    <m/>
    <n v="-13367.307499999999"/>
    <n v="0"/>
    <s v="WF Propel"/>
  </r>
  <r>
    <s v="2021"/>
    <s v="Aug"/>
    <x v="182"/>
    <s v="HONEYWELL INTERN PAYROLL 210808 6776090H NGUYEN,KHANH D"/>
    <s v="Income"/>
    <s v="Job"/>
    <m/>
    <n v="1876.04"/>
    <n v="-11491.267499999998"/>
    <n v="0"/>
    <s v="WF Checking"/>
  </r>
  <r>
    <s v="2021"/>
    <s v="Aug"/>
    <x v="183"/>
    <s v="WAL-MART SUPERCENTER 3296HOUSTON TX"/>
    <s v="Food"/>
    <s v="Groceries"/>
    <n v="2.17"/>
    <m/>
    <n v="-11493.437499999998"/>
    <n v="0"/>
    <s v="WF Propel"/>
  </r>
  <r>
    <s v="2021"/>
    <s v="Aug"/>
    <x v="184"/>
    <s v="SWEET MEMES DESSERT &amp; HOUSTON TX"/>
    <s v="Food"/>
    <s v="Dining out"/>
    <n v="27.98"/>
    <m/>
    <n v="-11521.417499999998"/>
    <n v="0"/>
    <s v="WF Propel"/>
  </r>
  <r>
    <s v="2021"/>
    <s v="Aug"/>
    <x v="184"/>
    <s v="USA*VEND AT AIR SERV RICHMOND TX"/>
    <s v="Transportation"/>
    <s v="Fuel"/>
    <n v="2"/>
    <m/>
    <n v="-11523.417499999998"/>
    <n v="0"/>
    <s v="WF Propel"/>
  </r>
  <r>
    <s v="2021"/>
    <s v="Aug"/>
    <x v="184"/>
    <s v="USA*VEND AT AIR SERV RICHMOND TX"/>
    <s v="Transportation"/>
    <s v="Fuel"/>
    <n v="2"/>
    <m/>
    <n v="-11525.417499999998"/>
    <n v="0"/>
    <s v="WF Propel"/>
  </r>
  <r>
    <s v="2021"/>
    <s v="Aug"/>
    <x v="184"/>
    <s v="CHEVRON 0357735/CHEVRON NEW WAVERLY TX"/>
    <s v="Transportation"/>
    <s v="Fuel"/>
    <n v="36.35"/>
    <m/>
    <n v="-11561.767499999998"/>
    <n v="0"/>
    <s v="WF Propel"/>
  </r>
  <r>
    <s v="2021"/>
    <s v="Aug"/>
    <x v="185"/>
    <s v="BOBA ISLAND 0000 HOUSTON TX"/>
    <s v="Food"/>
    <s v="Drink"/>
    <n v="9.9600000000000009"/>
    <m/>
    <n v="-11571.727499999997"/>
    <n v="0"/>
    <s v="WF Propel"/>
  </r>
  <r>
    <s v="2021"/>
    <s v="Aug"/>
    <x v="185"/>
    <s v="Coinbase.com NKBQJP2E NKBQJP2E471a DUYEN KHANH T NGUYEN"/>
    <s v="Savings or Investments"/>
    <s v="Cryptocurrencies"/>
    <n v="200"/>
    <m/>
    <n v="-11771.727499999997"/>
    <n v="200"/>
    <s v="WF Checking"/>
  </r>
  <r>
    <s v="2021"/>
    <s v="Aug"/>
    <x v="185"/>
    <s v="Coinbase.com UMRJMR34 UMRJMR34471a DUYEN KHANH T NGUYEN"/>
    <s v="Savings or Investments"/>
    <s v="Cryptocurrencies"/>
    <n v="100"/>
    <m/>
    <n v="-11871.727499999997"/>
    <n v="100"/>
    <s v="WF Checking"/>
  </r>
  <r>
    <s v="2021"/>
    <s v="Aug"/>
    <x v="185"/>
    <s v="APPLECARD GSBANK PAYMENT 081321 2552657 Khanh Nguyen"/>
    <s v="Shopping"/>
    <s v="by Apple Card"/>
    <n v="81.430000000000007"/>
    <m/>
    <n v="-11953.157499999998"/>
    <n v="0"/>
    <s v="WF Checking"/>
  </r>
  <r>
    <s v="2021"/>
    <s v="Aug"/>
    <x v="185"/>
    <s v="ZELLE TO BABY ON 08/16 REF #RP0C6HHJNZ FOR BABYS TUITION"/>
    <s v="Gifts and Donations"/>
    <s v="my love"/>
    <n v="500"/>
    <m/>
    <n v="-12453.157499999998"/>
    <n v="0"/>
    <s v="WF Checking"/>
  </r>
  <r>
    <s v="2021"/>
    <s v="Aug"/>
    <x v="185"/>
    <s v="PURCHASE AUTHORIZED ON 08/14 TX STATE PKS FIELD EGOV.COM TX S461226676300392 CARD 1700"/>
    <s v="Entertainment"/>
    <s v="Camping"/>
    <n v="35"/>
    <m/>
    <n v="-12488.157499999998"/>
    <n v="0"/>
    <s v="WF Checking"/>
  </r>
  <r>
    <s v="2021"/>
    <s v="Aug"/>
    <x v="185"/>
    <s v="PURCHASE RETURN AUTHORIZED ON 08/14 TX STATE PKS FIELD AUSTIN TX S621227121154165 CARD 1700"/>
    <s v="Entertainment"/>
    <s v="Camping"/>
    <n v="-20"/>
    <m/>
    <n v="-12468.157499999998"/>
    <n v="0"/>
    <s v="WF Checking"/>
  </r>
  <r>
    <s v="2021"/>
    <s v="Aug"/>
    <x v="185"/>
    <s v="WAL-MART #3296"/>
    <s v="Food"/>
    <s v="Groceries"/>
    <n v="8.06"/>
    <m/>
    <n v="-12476.217499999997"/>
    <n v="0"/>
    <s v="Chase Sapphire"/>
  </r>
  <r>
    <s v="2021"/>
    <s v="Aug"/>
    <x v="185"/>
    <s v="DAC HUNG BBQ"/>
    <s v="Food"/>
    <s v="Dining out"/>
    <n v="20.02"/>
    <m/>
    <n v="-12496.237499999997"/>
    <n v="0"/>
    <s v="Chase Sapphire"/>
  </r>
  <r>
    <s v="2021"/>
    <s v="Aug"/>
    <x v="186"/>
    <s v="BUNNY STOP #3 PASADENA TX"/>
    <s v="Transportation"/>
    <s v="Fuel"/>
    <n v="21.64"/>
    <m/>
    <n v="-12517.877499999997"/>
    <n v="0"/>
    <s v="WF Propel"/>
  </r>
  <r>
    <s v="2021"/>
    <s v="Aug"/>
    <x v="186"/>
    <s v="BUNNY STOP #3 PASADENA TX"/>
    <s v="Transportation"/>
    <s v="Fuel"/>
    <n v="1.99"/>
    <m/>
    <n v="-12519.867499999997"/>
    <n v="0"/>
    <s v="WF Propel"/>
  </r>
  <r>
    <s v="2021"/>
    <s v="Aug"/>
    <x v="186"/>
    <s v="CIRCLE K #2742533 0000000PASADENA TX"/>
    <s v="Transportation"/>
    <s v="Fuel"/>
    <n v="1.79"/>
    <m/>
    <n v="-12521.657499999998"/>
    <n v="0"/>
    <s v="WF Propel"/>
  </r>
  <r>
    <s v="2021"/>
    <s v="Aug"/>
    <x v="186"/>
    <s v="MCDONALD'S F31855 0000000HOUSTON TX"/>
    <s v="Food"/>
    <s v="Dining out"/>
    <n v="8.09"/>
    <m/>
    <n v="-12529.747499999998"/>
    <n v="0"/>
    <s v="WF Propel"/>
  </r>
  <r>
    <s v="2021"/>
    <s v="Aug"/>
    <x v="186"/>
    <s v="Coinbase.com JALUZ5TA JALUZ5TA471a DUYEN KHANH T NGUYEN"/>
    <s v="Savings or Investments"/>
    <s v="Cryptocurrencies"/>
    <n v="100"/>
    <m/>
    <n v="-12629.747499999998"/>
    <n v="100"/>
    <s v="WF Checking"/>
  </r>
  <r>
    <s v="2021"/>
    <s v="Aug"/>
    <x v="186"/>
    <s v="ZELLE TO THAO NGUYEN ON 08/17 REF #PP0C6RFRKW BUFFALO WING"/>
    <s v="Food"/>
    <s v="Dining out"/>
    <n v="13.58"/>
    <m/>
    <n v="-12643.327499999998"/>
    <n v="0"/>
    <s v="WF Checking"/>
  </r>
  <r>
    <s v="2021"/>
    <s v="Aug"/>
    <x v="186"/>
    <s v="ZELLE FROM NGUYEN NGUYEN ON 08/17 REF # PP0C6LL7MR"/>
    <s v="Income"/>
    <s v="Food Delivery Job"/>
    <m/>
    <n v="13"/>
    <n v="-12630.327499999998"/>
    <n v="0"/>
    <s v="WF Checking"/>
  </r>
  <r>
    <s v="2021"/>
    <s v="Aug"/>
    <x v="186"/>
    <s v="UBER USA 6787 EDI PAYMNT AUG 16 B9PS4YAD96KOUXM REF*TN*B9PS4YAD96\"/>
    <s v="Income"/>
    <s v="Food Delivery Job"/>
    <m/>
    <n v="108.51"/>
    <n v="-12521.817499999997"/>
    <n v="0"/>
    <s v="WF Checking"/>
  </r>
  <r>
    <s v="2021"/>
    <s v="Aug"/>
    <x v="187"/>
    <s v="POSTAL PLUS COPY CENTE RICHMOND TX"/>
    <s v="Other"/>
    <s v="Shipping"/>
    <n v="17.3"/>
    <m/>
    <n v="-12539.117499999997"/>
    <n v="0"/>
    <s v="WF Propel"/>
  </r>
  <r>
    <s v="2021"/>
    <s v="Aug"/>
    <x v="188"/>
    <s v="DAKAO RESTAURANT AND B HOUSTON TX"/>
    <s v="Food"/>
    <s v="Dining out"/>
    <n v="35.04"/>
    <m/>
    <n v="-12574.157499999998"/>
    <n v="0"/>
    <s v="WF Propel"/>
  </r>
  <r>
    <s v="2021"/>
    <s v="Aug"/>
    <x v="188"/>
    <s v="J TEA HOUSTON TX"/>
    <s v="Food"/>
    <s v="Drink"/>
    <n v="12.45"/>
    <m/>
    <n v="-12586.607499999998"/>
    <n v="0"/>
    <s v="WF Propel"/>
  </r>
  <r>
    <s v="2021"/>
    <s v="Aug"/>
    <x v="189"/>
    <s v="SHABU SHABU ZONE HOUSTON TX"/>
    <s v="Food"/>
    <s v="Dining out"/>
    <n v="52.56"/>
    <m/>
    <n v="-12639.167499999998"/>
    <n v="0"/>
    <s v="WF Propel"/>
  </r>
  <r>
    <s v="2021"/>
    <s v="Aug"/>
    <x v="189"/>
    <s v="CHEVRON 0202327/CHEVRON MISSOURI CITYTX"/>
    <s v="Transportation"/>
    <s v="Fuel"/>
    <n v="30.47"/>
    <m/>
    <n v="-12669.637499999997"/>
    <n v="0"/>
    <s v="WF Propel"/>
  </r>
  <r>
    <s v="2021"/>
    <s v="Aug"/>
    <x v="189"/>
    <s v="BOBA ISLAND 0000 HOUSTON TX"/>
    <s v="Food"/>
    <s v="Drink"/>
    <n v="8.98"/>
    <m/>
    <n v="-12678.617499999997"/>
    <n v="0"/>
    <s v="WF Propel"/>
  </r>
  <r>
    <s v="2021"/>
    <s v="Aug"/>
    <x v="190"/>
    <s v="TEAFIX 0000 HOUSTON TX"/>
    <s v="Food"/>
    <s v="Drink"/>
    <n v="13.38"/>
    <m/>
    <n v="-12691.997499999996"/>
    <n v="0"/>
    <s v="WF Propel"/>
  </r>
  <r>
    <s v="2021"/>
    <s v="Aug"/>
    <x v="190"/>
    <s v="WAL-MART NEIGHBORHOOD MARHOUSTON TX"/>
    <s v="Food"/>
    <s v="Groceries"/>
    <n v="10.87"/>
    <m/>
    <n v="-12702.867499999997"/>
    <n v="0"/>
    <s v="WF Propel"/>
  </r>
  <r>
    <s v="2021"/>
    <s v="Aug"/>
    <x v="191"/>
    <s v="Coinbase.com JXLVJGWC JXLVJGWC471a DUYEN KHANH T NGUYEN"/>
    <s v="Savings or Investments"/>
    <s v="Cryptocurrencies"/>
    <n v="200"/>
    <m/>
    <n v="-12902.867499999997"/>
    <n v="200"/>
    <s v="WF Checking"/>
  </r>
  <r>
    <s v="2021"/>
    <s v="Aug"/>
    <x v="191"/>
    <s v="Coinbase.com 29U7P2HW 29U7P2HW471a DUYEN KHANH T NGUYEN"/>
    <s v="Savings or Investments"/>
    <s v="Cryptocurrencies"/>
    <n v="100"/>
    <m/>
    <n v="-13002.867499999997"/>
    <n v="100"/>
    <s v="WF Checking"/>
  </r>
  <r>
    <s v="2021"/>
    <s v="Aug"/>
    <x v="192"/>
    <s v="ZELLE FROM THUTRANG NGUYEN ON 08/24 REF # BACVOPGDXO1S GAS"/>
    <s v="Transportation"/>
    <s v="Fuel"/>
    <n v="-28"/>
    <m/>
    <n v="-12974.867499999997"/>
    <n v="0"/>
    <s v="WF Checking"/>
  </r>
  <r>
    <s v="2021"/>
    <s v="Aug"/>
    <x v="192"/>
    <s v="UBER USA 6787 EDI PAYMNT AUG 23 2IR27SR05W66T0J REF*TN*2IR27SR05W\"/>
    <s v="Income"/>
    <s v="Food Delivery Job"/>
    <m/>
    <n v="166.57"/>
    <n v="-12808.297499999997"/>
    <n v="0"/>
    <s v="WF Checking"/>
  </r>
  <r>
    <s v="2021"/>
    <s v="Aug"/>
    <x v="192"/>
    <s v="DoorDash, Inc. DoorDash, ST-V3N6L5C2A2S5 KHANH NGUYEN"/>
    <s v="Income"/>
    <s v="Food Delivery Job"/>
    <m/>
    <n v="15.75"/>
    <n v="-12792.547499999997"/>
    <n v="0"/>
    <s v="WF Checking"/>
  </r>
  <r>
    <s v="2021"/>
    <s v="Aug"/>
    <x v="193"/>
    <s v="PHO CENTRAL 0000 DEER PARK TX"/>
    <s v="Food"/>
    <s v="Dining out"/>
    <n v="20.14"/>
    <m/>
    <n v="-12812.687499999996"/>
    <n v="0"/>
    <s v="WF Propel"/>
  </r>
  <r>
    <s v="2021"/>
    <s v="Aug"/>
    <x v="193"/>
    <s v="GREAT WALL SUPERMARKET - HOUSTON TX"/>
    <s v="Food"/>
    <s v="Groceries"/>
    <n v="72.13"/>
    <m/>
    <n v="-12884.817499999996"/>
    <n v="0"/>
    <s v="WF Propel"/>
  </r>
  <r>
    <s v="2021"/>
    <s v="Aug"/>
    <x v="193"/>
    <s v="CIRCLE K # 03310/CIRCLE KHOUSTON TX"/>
    <s v="Transportation"/>
    <s v="Fuel"/>
    <n v="27.86"/>
    <m/>
    <n v="-12912.677499999996"/>
    <n v="0"/>
    <s v="WF Propel"/>
  </r>
  <r>
    <s v="2021"/>
    <s v="Aug"/>
    <x v="193"/>
    <s v="CIRCLE K #2741464 0000000RICHMOND TX"/>
    <s v="Transportation"/>
    <s v="Fuel"/>
    <n v="32.17"/>
    <m/>
    <n v="-12944.847499999996"/>
    <n v="0"/>
    <s v="WF Propel"/>
  </r>
  <r>
    <s v="2021"/>
    <s v="Aug"/>
    <x v="193"/>
    <s v="ALDI 78010 00000000004341SUGAR LAND TX"/>
    <s v="Food"/>
    <s v="Groceries"/>
    <n v="6.01"/>
    <m/>
    <n v="-12950.857499999996"/>
    <n v="0"/>
    <s v="WF Propel"/>
  </r>
  <r>
    <s v="2021"/>
    <s v="Aug"/>
    <x v="193"/>
    <s v="PAYPAL INST XFER 210825 GETAWAYHOUS KHANH NGUYEN"/>
    <s v="Entertainment"/>
    <s v="Camping"/>
    <n v="108.9"/>
    <m/>
    <n v="-13059.757499999996"/>
    <n v="0"/>
    <s v="WF Checking"/>
  </r>
  <r>
    <s v="2021"/>
    <s v="Aug"/>
    <x v="193"/>
    <s v="PURCHASE AUTHORIZED ON 08/25 Wal-Mart Super Center SUGAR LAND TX P00000000080878120 CARD 1700"/>
    <s v="Food"/>
    <s v="Groceries"/>
    <n v="2.68"/>
    <m/>
    <n v="-13062.437499999996"/>
    <n v="0"/>
    <s v="WF Checking"/>
  </r>
  <r>
    <s v="2021"/>
    <s v="Aug"/>
    <x v="193"/>
    <s v="PURCHASE AUTHORIZED ON 08/25 WAL-MART #4466 SUGAR LAND TX P00000000384716248 CARD 1700"/>
    <s v="Food"/>
    <s v="Groceries"/>
    <n v="9.5"/>
    <m/>
    <n v="-13071.937499999996"/>
    <n v="0"/>
    <s v="WF Checking"/>
  </r>
  <r>
    <s v="2021"/>
    <s v="Aug"/>
    <x v="193"/>
    <s v="ZELLE FROM NGUYEN NGUYEN ON 08/25 REF # PP0C882YD8"/>
    <s v="Income"/>
    <s v="Food Delivery Job"/>
    <m/>
    <n v="6.25"/>
    <n v="-13065.687499999996"/>
    <n v="0"/>
    <s v="WF Checking"/>
  </r>
  <r>
    <s v="2021"/>
    <s v="Aug"/>
    <x v="194"/>
    <s v="PURCHASE AUTHORIZED ON 08/26 VIET STREET HOUSTON TX P00000000031409539 CARD 1700"/>
    <s v="Food"/>
    <s v="Drink"/>
    <n v="12.47"/>
    <m/>
    <n v="-13078.157499999996"/>
    <n v="0"/>
    <s v="WF Checking"/>
  </r>
  <r>
    <s v="2021"/>
    <s v="Aug"/>
    <x v="194"/>
    <s v="PURCHASE AUTHORIZED ON 08/26 HONG KONG FOOD HOUSTON TX P00000000171105356 CARD 1700"/>
    <s v="Food"/>
    <s v="Groceries"/>
    <n v="24.56"/>
    <m/>
    <n v="-13102.717499999995"/>
    <n v="0"/>
    <s v="WF Checking"/>
  </r>
  <r>
    <s v="2021"/>
    <s v="Aug"/>
    <x v="194"/>
    <s v="PURCHASE AUTHORIZED ON 08/26 CHO THANH BINH HOUSTON TX P00581238587023334 CARD 1700"/>
    <s v="Food"/>
    <s v="Groceries"/>
    <n v="32.119999999999997"/>
    <m/>
    <n v="-13134.837499999996"/>
    <n v="0"/>
    <s v="WF Checking"/>
  </r>
  <r>
    <s v="2021"/>
    <s v="Aug"/>
    <x v="194"/>
    <s v="PURCHASE AUTHORIZED ON 08/25 PHO VI VI PASADENA TX S301237642278745 CARD 1700"/>
    <s v="Food"/>
    <s v="Dining out"/>
    <n v="21.35"/>
    <m/>
    <n v="-13156.187499999996"/>
    <n v="0"/>
    <s v="WF Checking"/>
  </r>
  <r>
    <s v="2021"/>
    <s v="Aug"/>
    <x v="195"/>
    <s v="PURCHASE AUTHORIZED ON 08/25 MCDONALD'S F2708 HOUSTON TX S461237410594538 CARD 1700"/>
    <s v="Food"/>
    <s v="Dining out"/>
    <n v="8.84"/>
    <m/>
    <n v="-13165.027499999997"/>
    <n v="0"/>
    <s v="WF Checking"/>
  </r>
  <r>
    <s v="2021"/>
    <s v="Aug"/>
    <x v="195"/>
    <s v="HONEYWELL INTERN PAYROLL 210822 6776090H NGUYEN,KHANH D"/>
    <s v="Income"/>
    <s v="Job"/>
    <m/>
    <n v="1876.04"/>
    <n v="-11288.987499999996"/>
    <n v="0"/>
    <s v="WF Checking"/>
  </r>
  <r>
    <s v="2021"/>
    <s v="Aug"/>
    <x v="195"/>
    <s v="TEX DEPT LICEN N REG"/>
    <s v="Gifts and Donations"/>
    <s v="my love"/>
    <n v="100"/>
    <m/>
    <n v="-11388.987499999996"/>
    <n v="0"/>
    <s v="Chase Sapphire"/>
  </r>
  <r>
    <s v="2021"/>
    <s v="Aug"/>
    <x v="196"/>
    <s v="CIRCLE K # 03310/CIRCLE KHOUSTON TX"/>
    <s v="Transportation"/>
    <s v="Fuel"/>
    <n v="21.09"/>
    <m/>
    <n v="-11410.077499999996"/>
    <n v="0"/>
    <s v="WF Propel"/>
  </r>
  <r>
    <s v="2021"/>
    <s v="Aug"/>
    <x v="196"/>
    <s v="SHABU SHABU ZONE"/>
    <s v="Food"/>
    <s v="Dining out"/>
    <n v="74.47"/>
    <m/>
    <n v="-11484.547499999995"/>
    <n v="0"/>
    <s v="Chase Sapphire"/>
  </r>
  <r>
    <s v="2021"/>
    <s v="Aug"/>
    <x v="197"/>
    <s v="MCDONALD'S F2708 00000000HOUSTON TX"/>
    <s v="Food"/>
    <s v="Dining out"/>
    <n v="8.84"/>
    <m/>
    <n v="-11493.387499999995"/>
    <n v="0"/>
    <s v="WF Propel"/>
  </r>
  <r>
    <s v="2021"/>
    <s v="Aug"/>
    <x v="197"/>
    <s v="BURGER KING #3815 0000 HOUSTON TX"/>
    <s v="Food"/>
    <s v="Dining out"/>
    <n v="12.42"/>
    <m/>
    <n v="-11505.807499999995"/>
    <n v="0"/>
    <s v="WF Propel"/>
  </r>
  <r>
    <s v="2021"/>
    <s v="Aug"/>
    <x v="197"/>
    <s v="Coinbase.com 5YWBYD9S 5YWBYD9S471a DUYEN KHANH T NGUYEN"/>
    <s v="Savings or Investments"/>
    <s v="Cryptocurrencies"/>
    <n v="200"/>
    <m/>
    <n v="-11705.807499999995"/>
    <n v="200"/>
    <s v="WF Checking"/>
  </r>
  <r>
    <s v="2021"/>
    <s v="Aug"/>
    <x v="197"/>
    <s v="Coinbase.com FWQLYSG3 FWQLYSG3471a DUYEN KHANH T NGUYEN"/>
    <s v="Savings or Investments"/>
    <s v="Cryptocurrencies"/>
    <n v="100"/>
    <m/>
    <n v="-11805.807499999995"/>
    <n v="100"/>
    <s v="WF Checking"/>
  </r>
  <r>
    <s v="2021"/>
    <s v="Aug"/>
    <x v="197"/>
    <s v="PURCHASE AUTHORIZED ON 08/26 THE TEAHOUSE SUGAR LAND TX S381239049938099 CARD 1700"/>
    <s v="Food"/>
    <s v="Drink"/>
    <n v="10.35"/>
    <m/>
    <n v="-11816.157499999996"/>
    <n v="0"/>
    <s v="WF Checking"/>
  </r>
  <r>
    <s v="2021"/>
    <s v="Aug"/>
    <x v="198"/>
    <s v="MCDONALD'S F2708 00000000HOUSTON TX"/>
    <s v="Food"/>
    <s v="Dining out"/>
    <n v="8.84"/>
    <m/>
    <n v="-11824.997499999996"/>
    <n v="0"/>
    <s v="WF Propel"/>
  </r>
  <r>
    <s v="2021"/>
    <s v="Aug"/>
    <x v="198"/>
    <s v="OTSUKA RAMEN BAR 0001 DEER PARK TX"/>
    <s v="Food"/>
    <s v="Dining out"/>
    <n v="28.75"/>
    <m/>
    <n v="-11853.747499999996"/>
    <n v="0"/>
    <s v="WF Propel"/>
  </r>
  <r>
    <s v="2021"/>
    <s v="Aug"/>
    <x v="198"/>
    <s v="ZELLE FROM THUTRANG NGUYEN ON 08/31 REF # BACI0AFLABQJ GAS"/>
    <s v="Transportation"/>
    <s v="Fuel"/>
    <n v="-21"/>
    <m/>
    <n v="-11832.747499999996"/>
    <n v="0"/>
    <s v="WF Checking"/>
  </r>
  <r>
    <s v="2021"/>
    <s v="Aug"/>
    <x v="198"/>
    <s v="UBER USA 6787 EDI PAYMNT AUG 30 KINIT9KQWRMA7CD REF*TN*KINIT9KQWR\"/>
    <s v="Income"/>
    <s v="Food Delivery Job"/>
    <m/>
    <n v="83.43"/>
    <n v="-11749.317499999996"/>
    <n v="0"/>
    <s v="WF Checking"/>
  </r>
  <r>
    <s v="2021"/>
    <s v="Aug"/>
    <x v="198"/>
    <s v="DoorDash, Inc. DoorDash, ST-D7Y4D3J2G4P3 KHANH NGUYEN"/>
    <s v="Income"/>
    <s v="Food Delivery Job"/>
    <m/>
    <n v="58.14"/>
    <n v="-11691.177499999996"/>
    <n v="0"/>
    <s v="WF Checking"/>
  </r>
  <r>
    <s v="2021"/>
    <s v="Sep"/>
    <x v="199"/>
    <s v="J TEA HOUSTON TX"/>
    <s v="Food"/>
    <s v="Drink"/>
    <n v="7.14"/>
    <m/>
    <n v="-11698.317499999996"/>
    <n v="0"/>
    <s v="WF Propel"/>
  </r>
  <r>
    <s v="2021"/>
    <s v="Sep"/>
    <x v="199"/>
    <s v="TEXACO 0306976/CHEVRON HOUSTON TX"/>
    <s v="Transportation"/>
    <s v="Fuel"/>
    <n v="41.64"/>
    <m/>
    <n v="-11739.957499999995"/>
    <n v="0"/>
    <s v="WF Propel"/>
  </r>
  <r>
    <s v="2021"/>
    <s v="Sep"/>
    <x v="199"/>
    <s v="JPMorgan Chase Ext Trnsfr 210901 12266592015 CAM NHUNG T PHAM"/>
    <s v="Housing"/>
    <s v="Mortgage or rent"/>
    <n v="500"/>
    <m/>
    <n v="-12239.957499999995"/>
    <n v="0"/>
    <s v="WF Checking"/>
  </r>
  <r>
    <s v="2021"/>
    <s v="Sep"/>
    <x v="200"/>
    <s v="Coinbase.com 7C3G886S 7C3G886S471a DUYEN KHANH T NGUYEN"/>
    <s v="Savings or Investments"/>
    <s v="Cryptocurrencies"/>
    <n v="100"/>
    <m/>
    <n v="-12339.957499999995"/>
    <n v="100"/>
    <s v="WF Checking"/>
  </r>
  <r>
    <s v="2021"/>
    <s v="Sep"/>
    <x v="200"/>
    <s v="AMERICANEXPRESS TRANSFER 000320015883368 NGUYEN,KHANH"/>
    <s v="Savings or Investments"/>
    <s v="Saving Account"/>
    <n v="100"/>
    <m/>
    <n v="-12439.957499999995"/>
    <n v="100"/>
    <s v="WF Check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20F85-FE23-446E-99F7-DB15773DDECF}" name="PivotTable12" cacheId="906" applyNumberFormats="0" applyBorderFormats="0" applyFontFormats="0" applyPatternFormats="0" applyAlignmentFormats="0" applyWidthHeightFormats="1" dataCaption="Values" tag="6f5d03d9-bb13-4f25-8737-cb94eddc26ac" updatedVersion="6" minRefreshableVersion="3" useAutoFormatting="1" subtotalHiddenItems="1" rowGrandTotals="0" colGrandTotals="0" itemPrintTitles="1" createdVersion="6" indent="0" outline="1" outlineData="1" multipleFieldFilters="0" chartFormat="3" rowHeaderCaption="Category" colHeaderCaption="Month">
  <location ref="A4:N20" firstHeaderRow="1" firstDataRow="2"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s>
  <rowFields count="1">
    <field x="0"/>
  </rowFields>
  <rowItems count="15">
    <i>
      <x/>
    </i>
    <i>
      <x v="1"/>
    </i>
    <i>
      <x v="2"/>
    </i>
    <i>
      <x v="3"/>
    </i>
    <i>
      <x v="4"/>
    </i>
    <i>
      <x v="5"/>
    </i>
    <i>
      <x v="6"/>
    </i>
    <i>
      <x v="7"/>
    </i>
    <i>
      <x v="8"/>
    </i>
    <i>
      <x v="9"/>
    </i>
    <i>
      <x v="10"/>
    </i>
    <i>
      <x v="11"/>
    </i>
    <i>
      <x v="12"/>
    </i>
    <i>
      <x v="13"/>
    </i>
    <i>
      <x v="14"/>
    </i>
  </rowItems>
  <colFields count="1">
    <field x="1"/>
  </colFields>
  <colItems count="13">
    <i>
      <x/>
    </i>
    <i>
      <x v="1"/>
    </i>
    <i>
      <x v="2"/>
    </i>
    <i>
      <x v="3"/>
    </i>
    <i>
      <x v="4"/>
    </i>
    <i>
      <x v="5"/>
    </i>
    <i>
      <x v="6"/>
    </i>
    <i>
      <x v="7"/>
    </i>
    <i>
      <x v="8"/>
    </i>
    <i>
      <x v="9"/>
    </i>
    <i>
      <x v="10"/>
    </i>
    <i>
      <x v="11"/>
    </i>
    <i>
      <x v="12"/>
    </i>
  </colItem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lan"/>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tegory]"/>
        <x15:activeTabTopLevelEntity name="[Month]"/>
        <x15:activeTabTopLevelEntity name="[Year]"/>
        <x15:activeTabTopLevelEntity name="[Data]"/>
        <x15:activeTabTopLevelEntity name="[Pla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412E17-E9B9-4F5D-A94D-D3C2A8C18EE2}" name="ActualPivot" cacheId="1817" applyNumberFormats="0" applyBorderFormats="0" applyFontFormats="0" applyPatternFormats="0" applyAlignmentFormats="0" applyWidthHeightFormats="1" dataCaption="Values" tag="c3112ba3-a112-4bb5-892a-1fc7c00d7798" updatedVersion="6" minRefreshableVersion="3" useAutoFormatting="1" subtotalHiddenItems="1" itemPrintTitles="1" createdVersion="6" indent="0" outline="1" outlineData="1" multipleFieldFilters="0" chartFormat="9" rowHeaderCaption="Category">
  <location ref="A4:B13" firstHeaderRow="1" firstDataRow="1" firstDataCol="1" rowPageCount="2"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1"/>
  </rowFields>
  <rowItems count="9">
    <i>
      <x/>
    </i>
    <i>
      <x v="1"/>
    </i>
    <i>
      <x v="2"/>
    </i>
    <i>
      <x v="3"/>
    </i>
    <i>
      <x v="4"/>
    </i>
    <i>
      <x v="5"/>
    </i>
    <i>
      <x v="6"/>
    </i>
    <i>
      <x v="7"/>
    </i>
    <i t="grand">
      <x/>
    </i>
  </rowItems>
  <colItems count="1">
    <i/>
  </colItems>
  <pageFields count="2">
    <pageField fld="0" hier="31" name="[Year].[Year].&amp;[2021]" cap="2021"/>
    <pageField fld="2" hier="11" name="[Month].[Month].&amp;[Apr]" cap="Apr"/>
  </pageFields>
  <dataFields count="1">
    <dataField name="Sum of Actual Expense" fld="4" baseField="0" baseItem="0"/>
  </dataFields>
  <chartFormats count="2">
    <chartFormat chart="8" format="104" series="1">
      <pivotArea type="data" outline="0" fieldPosition="0">
        <references count="1">
          <reference field="4294967294" count="1" selected="0">
            <x v="0"/>
          </reference>
        </references>
      </pivotArea>
    </chartFormat>
    <chartFormat chart="3" format="88"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multipleItemSelectionAllowed="1" dragToData="1">
      <members count="13" level="1">
        <member name="[Data].[Sub-Category].&amp;"/>
        <member name="[Data].[Sub-Category].&amp;[Cryptocurrencies]"/>
        <member name="[Data].[Sub-Category].&amp;[Dining out]"/>
        <member name="[Data].[Sub-Category].&amp;[Drink]"/>
        <member name="[Data].[Sub-Category].&amp;[Fuel]"/>
        <member name="[Data].[Sub-Category].&amp;[Gold]"/>
        <member name="[Data].[Sub-Category].&amp;[Groceries]"/>
        <member name="[Data].[Sub-Category].&amp;[Investment account]"/>
        <member name="[Data].[Sub-Category].&amp;[Mortgage or rent]"/>
        <member name="[Data].[Sub-Category].&amp;[Other]"/>
        <member name="[Data].[Sub-Category].&amp;[Parking]"/>
        <member name="[Data].[Sub-Category].&amp;[Retirement account]"/>
        <member name="[Data].[Sub-Category].&amp;[Technology]"/>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
        <x15:activeTabTopLevelEntity name="[Month]"/>
        <x15:activeTabTopLevelEntity name="[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B696C3-1FA7-44DF-8AC9-E403526906E6}" name="PivotTable1" cacheId="1829" dataPosition="0" applyNumberFormats="0" applyBorderFormats="0" applyFontFormats="0" applyPatternFormats="0" applyAlignmentFormats="0" applyWidthHeightFormats="1" dataCaption="Values" tag="007c1602-7f09-4336-a6d0-643eef38fe8c" updatedVersion="6" minRefreshableVersion="3" useAutoFormatting="1" subtotalHiddenItems="1" itemPrintTitles="1" createdVersion="6" indent="0" outline="1" outlineData="1" multipleFieldFilters="0" chartFormat="24" rowHeaderCaption="Category">
  <location ref="A5:C8" firstHeaderRow="0" firstDataRow="1" firstDataCol="1" rowPageCount="2" colPageCount="1"/>
  <pivotFields count="5">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dataSourceSort="1" defaultAttributeDrillState="1">
      <items count="3">
        <item s="1" x="0"/>
        <item s="1" x="1"/>
        <item t="default"/>
      </items>
    </pivotField>
    <pivotField dataField="1" showAll="0"/>
    <pivotField dataField="1" showAll="0"/>
  </pivotFields>
  <rowFields count="1">
    <field x="2"/>
  </rowFields>
  <rowItems count="3">
    <i>
      <x/>
    </i>
    <i>
      <x v="1"/>
    </i>
    <i t="grand">
      <x/>
    </i>
  </rowItems>
  <colFields count="1">
    <field x="-2"/>
  </colFields>
  <colItems count="2">
    <i>
      <x/>
    </i>
    <i i="1">
      <x v="1"/>
    </i>
  </colItems>
  <pageFields count="2">
    <pageField fld="0" hier="31" name="[Year].[Year].&amp;[2021]" cap="2021"/>
    <pageField fld="1" hier="11" name="[Month].[Month].&amp;[Apr]" cap="Apr"/>
  </pageFields>
  <dataFields count="2">
    <dataField name="Sum of Actual Income" fld="3" baseField="0" baseItem="0" numFmtId="42"/>
    <dataField name="Sum of Saving/Investment" fld="4" baseField="0" baseItem="0"/>
  </dataFields>
  <formats count="2">
    <format dxfId="346">
      <pivotArea outline="0" collapsedLevelsAreSubtotals="1" fieldPosition="0"/>
    </format>
    <format dxfId="345">
      <pivotArea outline="0" fieldPosition="0">
        <references count="1">
          <reference field="4294967294" count="1">
            <x v="0"/>
          </reference>
        </references>
      </pivotArea>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7C2E1C-4BBF-4907-B994-25EAA87FDA26}" name="PivotTable1" cacheId="907" applyNumberFormats="0" applyBorderFormats="0" applyFontFormats="0" applyPatternFormats="0" applyAlignmentFormats="0" applyWidthHeightFormats="1" dataCaption="Values" tag="6f5d03d9-bb13-4f25-8737-cb94eddc26ac" updatedVersion="6" minRefreshableVersion="3" useAutoFormatting="1" subtotalHiddenItems="1" rowGrandTotals="0" colGrandTotals="0" itemPrintTitles="1" createdVersion="6" indent="0" outline="1" outlineData="1" multipleFieldFilters="0" chartFormat="3" rowHeaderCaption="Category" colHeaderCaption="Month">
  <location ref="S4:AC19" firstHeaderRow="1" firstDataRow="2"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s>
  <rowFields count="1">
    <field x="0"/>
  </rowFields>
  <rowItems count="14">
    <i>
      <x/>
    </i>
    <i>
      <x v="1"/>
    </i>
    <i>
      <x v="2"/>
    </i>
    <i>
      <x v="3"/>
    </i>
    <i>
      <x v="4"/>
    </i>
    <i>
      <x v="5"/>
    </i>
    <i>
      <x v="6"/>
    </i>
    <i>
      <x v="7"/>
    </i>
    <i>
      <x v="8"/>
    </i>
    <i>
      <x v="9"/>
    </i>
    <i>
      <x v="10"/>
    </i>
    <i>
      <x v="11"/>
    </i>
    <i>
      <x v="12"/>
    </i>
    <i>
      <x v="13"/>
    </i>
  </rowItems>
  <colFields count="1">
    <field x="1"/>
  </colFields>
  <colItems count="10">
    <i>
      <x/>
    </i>
    <i>
      <x v="1"/>
    </i>
    <i>
      <x v="2"/>
    </i>
    <i>
      <x v="3"/>
    </i>
    <i>
      <x v="4"/>
    </i>
    <i>
      <x v="5"/>
    </i>
    <i>
      <x v="6"/>
    </i>
    <i>
      <x v="7"/>
    </i>
    <i>
      <x v="8"/>
    </i>
    <i>
      <x v="9"/>
    </i>
  </colItems>
  <dataFields count="1">
    <dataField name="Plan" fld="2"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lan"/>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tegory]"/>
        <x15:activeTabTopLevelEntity name="[Month]"/>
        <x15:activeTabTopLevelEntity name="[Year]"/>
        <x15:activeTabTopLevelEntity name="[Data]"/>
        <x15:activeTabTopLevelEntity name="[Pla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A22A6-DF5D-47DB-ACDF-CF34A2D6AC5F}" name="ReportActualPivot" cacheId="1814" applyNumberFormats="0" applyBorderFormats="0" applyFontFormats="0" applyPatternFormats="0" applyAlignmentFormats="0" applyWidthHeightFormats="1" dataCaption="Values" tag="7b4bc0bf-bb68-4666-92c7-25648242d1a6" updatedVersion="6" minRefreshableVersion="3" useAutoFormatting="1" subtotalHiddenItems="1" itemPrintTitles="1" createdVersion="6" indent="0" outline="1" outlineData="1" multipleFieldFilters="0" chartFormat="1" rowHeaderCaption="Category">
  <location ref="A4:C37" firstHeaderRow="0" firstDataRow="1" firstDataCol="1" rowPageCount="2" colPageCount="1"/>
  <pivotFields count="6">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xis="axisPage" allDrilled="1" showAll="0" dataSourceSort="1" defaultAttributeDrillState="1">
      <items count="1">
        <item t="default"/>
      </items>
    </pivotField>
    <pivotField dataField="1" showAll="0"/>
    <pivotField axis="axisPage" allDrilled="1" showAll="0" dataSourceSort="1" defaultAttributeDrillState="1">
      <items count="1">
        <item t="default"/>
      </items>
    </pivotField>
    <pivotField dataField="1" showAll="0"/>
  </pivotFields>
  <rowFields count="2">
    <field x="0"/>
    <field x="1"/>
  </rowFields>
  <rowItems count="33">
    <i>
      <x/>
    </i>
    <i r="1">
      <x/>
    </i>
    <i r="1">
      <x v="1"/>
    </i>
    <i r="1">
      <x v="2"/>
    </i>
    <i r="1">
      <x v="3"/>
    </i>
    <i>
      <x v="1"/>
    </i>
    <i r="1">
      <x v="4"/>
    </i>
    <i r="1">
      <x v="5"/>
    </i>
    <i>
      <x v="2"/>
    </i>
    <i r="1">
      <x v="6"/>
    </i>
    <i r="1">
      <x v="7"/>
    </i>
    <i>
      <x v="3"/>
    </i>
    <i r="1">
      <x v="8"/>
    </i>
    <i r="1">
      <x v="9"/>
    </i>
    <i r="1">
      <x v="10"/>
    </i>
    <i>
      <x v="4"/>
    </i>
    <i r="1">
      <x v="11"/>
    </i>
    <i r="1">
      <x v="12"/>
    </i>
    <i r="1">
      <x v="13"/>
    </i>
    <i r="1">
      <x v="14"/>
    </i>
    <i>
      <x v="5"/>
    </i>
    <i r="1">
      <x v="15"/>
    </i>
    <i r="1">
      <x v="16"/>
    </i>
    <i>
      <x v="6"/>
    </i>
    <i r="1">
      <x v="17"/>
    </i>
    <i r="1">
      <x v="18"/>
    </i>
    <i>
      <x v="7"/>
    </i>
    <i r="1">
      <x v="19"/>
    </i>
    <i>
      <x v="8"/>
    </i>
    <i r="1">
      <x v="20"/>
    </i>
    <i r="1">
      <x v="21"/>
    </i>
    <i r="1">
      <x v="22"/>
    </i>
    <i t="grand">
      <x/>
    </i>
  </rowItems>
  <colFields count="1">
    <field x="-2"/>
  </colFields>
  <colItems count="2">
    <i>
      <x/>
    </i>
    <i i="1">
      <x v="1"/>
    </i>
  </colItems>
  <pageFields count="2">
    <pageField fld="2" hier="31" name="[Year].[Year].&amp;[2021]" cap="2021"/>
    <pageField fld="4" hier="11" name="[Month].[Month].&amp;[Apr]" cap="Apr"/>
  </pageFields>
  <dataFields count="2">
    <dataField name="Sum of Actual Income" fld="3" baseField="0" baseItem="0" numFmtId="42"/>
    <dataField name="Sum of Actual Expense" fld="5" baseField="0" baseItem="0" numFmtId="42"/>
  </dataFields>
  <formats count="3">
    <format dxfId="386">
      <pivotArea outline="0" collapsedLevelsAreSubtotals="1" fieldPosition="0"/>
    </format>
    <format dxfId="385">
      <pivotArea outline="0" fieldPosition="0">
        <references count="1">
          <reference field="4294967294" count="1">
            <x v="0"/>
          </reference>
        </references>
      </pivotArea>
    </format>
    <format dxfId="349">
      <pivotArea outline="0" fieldPosition="0">
        <references count="1">
          <reference field="4294967294" count="1">
            <x v="1"/>
          </reference>
        </references>
      </pivotArea>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6E089-142D-4BCD-9D5B-7C4231314019}" name="ReportPlanPivot" cacheId="1823" applyNumberFormats="0" applyBorderFormats="0" applyFontFormats="0" applyPatternFormats="0" applyAlignmentFormats="0" applyWidthHeightFormats="1" dataCaption="Values" tag="4bab5ebd-7d9c-4a79-9c89-f20cbcccde31" updatedVersion="6" minRefreshableVersion="3" useAutoFormatting="1" subtotalHiddenItems="1" itemPrintTitles="1" createdVersion="6" indent="0" outline="1" outlineData="1" multipleFieldFilters="0">
  <location ref="A4:D20" firstHeaderRow="0" firstDataRow="1" firstDataCol="1" rowPageCount="2"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Page" allDrilled="1" subtotalTop="0" showAll="0" dataSourceSort="1" defaultSubtotal="0" defaultAttributeDrillState="1"/>
    <pivotField axis="axisPage"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pageFields count="2">
    <pageField fld="3" hier="31" name="[Year].[Year].&amp;[2021]" cap="2021"/>
    <pageField fld="4" hier="11" name="[Month].[Month].&amp;[Apr]" cap="Apr"/>
  </pageFields>
  <dataFields count="3">
    <dataField name="Sum of Plan Income" fld="0" baseField="0" baseItem="0" numFmtId="168"/>
    <dataField name="Sum of Plan Budget" fld="1" baseField="0" baseItem="0" numFmtId="168"/>
    <dataField name="% of Plan Budget" fld="5" showDataAs="percentOfCol" baseField="2" baseItem="0" numFmtId="9">
      <extLst>
        <ext xmlns:x14="http://schemas.microsoft.com/office/spreadsheetml/2009/9/main" uri="{E15A36E0-9728-4e99-A89B-3F7291B0FE68}">
          <x14:dataField sourceField="1" uniqueName="[__Xl2].[Measures].[Sum of Plan Budget]"/>
        </ext>
      </extLst>
    </dataField>
  </dataFields>
  <pivotHierarchies count="5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of Plan Budget"/>
    <pivotHierarchy dragToData="1"/>
    <pivotHierarchy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Year]"/>
        <x15:activeTabTopLevelEntity name="[Month]"/>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757747-D683-4348-A935-59DDAD1B7844}" name="PivotTable1" cacheId="9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C13" firstHeaderRow="0" firstDataRow="1" firstDataCol="1"/>
  <pivotFields count="12">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dataField="1" showAll="0"/>
    <pivotField numFmtId="44" showAll="0"/>
    <pivotField numFmtId="4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2"/>
  </rowFields>
  <rowItems count="10">
    <i>
      <x v="1"/>
    </i>
    <i>
      <x v="2"/>
    </i>
    <i>
      <x v="3"/>
    </i>
    <i>
      <x v="4"/>
    </i>
    <i>
      <x v="5"/>
    </i>
    <i>
      <x v="6"/>
    </i>
    <i>
      <x v="7"/>
    </i>
    <i>
      <x v="8"/>
    </i>
    <i>
      <x v="9"/>
    </i>
    <i t="grand">
      <x/>
    </i>
  </rowItems>
  <colFields count="1">
    <field x="-2"/>
  </colFields>
  <colItems count="2">
    <i>
      <x/>
    </i>
    <i i="1">
      <x v="1"/>
    </i>
  </colItems>
  <dataFields count="2">
    <dataField name="Income" fld="7" baseField="10" baseItem="1" numFmtId="42"/>
    <dataField name="Expense" fld="6" baseField="10" baseItem="1" numFmtId="44"/>
  </dataFields>
  <formats count="5">
    <format dxfId="384">
      <pivotArea collapsedLevelsAreSubtotals="1" fieldPosition="0">
        <references count="2">
          <reference field="4294967294" count="1" selected="0">
            <x v="0"/>
          </reference>
          <reference field="11" count="1">
            <x v="1"/>
          </reference>
        </references>
      </pivotArea>
    </format>
    <format dxfId="383">
      <pivotArea outline="0" fieldPosition="0">
        <references count="1">
          <reference field="4294967294" count="1">
            <x v="0"/>
          </reference>
        </references>
      </pivotArea>
    </format>
    <format dxfId="352">
      <pivotArea collapsedLevelsAreSubtotals="1" fieldPosition="0">
        <references count="2">
          <reference field="4294967294" count="1" selected="0">
            <x v="1"/>
          </reference>
          <reference field="11" count="1">
            <x v="1"/>
          </reference>
        </references>
      </pivotArea>
    </format>
    <format dxfId="351">
      <pivotArea collapsedLevelsAreSubtotals="1" fieldPosition="0">
        <references count="2">
          <reference field="4294967294" count="1" selected="0">
            <x v="1"/>
          </reference>
          <reference field="11" count="1">
            <x v="2"/>
          </reference>
        </references>
      </pivotArea>
    </format>
    <format dxfId="350">
      <pivotArea dataOnly="0"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1"/>
          </reference>
          <reference field="11" count="1" selected="0">
            <x v="7"/>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72245C-86C7-41D0-A262-1360EED9AF5A}" name="PlanvActualbyCatPivot" cacheId="1820" applyNumberFormats="0" applyBorderFormats="0" applyFontFormats="0" applyPatternFormats="0" applyAlignmentFormats="0" applyWidthHeightFormats="1" dataCaption="Values" tag="31985a98-a0dd-4f21-a404-65a53b7fa553" updatedVersion="6" minRefreshableVersion="3" useAutoFormatting="1" subtotalHiddenItems="1" itemPrintTitles="1" createdVersion="6" indent="0" outline="1" outlineData="1" multipleFieldFilters="0" chartFormat="15" rowHeaderCaption="Category">
  <location ref="A4:C19" firstHeaderRow="0" firstDataRow="1" firstDataCol="1" rowPageCount="2" colPageCount="1"/>
  <pivotFields count="5">
    <pivotField axis="axisRow" allDrilled="1" showAll="0" dataSourceSort="1" defaultAttributeDrillState="1">
      <items count="15">
        <item x="0"/>
        <item x="1"/>
        <item x="2"/>
        <item x="3"/>
        <item x="4"/>
        <item x="5"/>
        <item x="6"/>
        <item x="7"/>
        <item x="8"/>
        <item x="9"/>
        <item x="10"/>
        <item x="11"/>
        <item x="12"/>
        <item x="13"/>
        <item t="default"/>
      </items>
    </pivotField>
    <pivotField axis="axisPage" allDrilled="1" showAll="0" dataSourceSort="1" defaultAttributeDrillState="1">
      <items count="1">
        <item t="default"/>
      </items>
    </pivotField>
    <pivotField dataField="1" showAll="0"/>
    <pivotField axis="axisPage" allDrilled="1" showAll="0" dataSourceSort="1" defaultAttributeDrillState="1">
      <items count="1">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pageFields count="2">
    <pageField fld="1" hier="31" name="[Year].[Year].&amp;[2021]" cap="2021"/>
    <pageField fld="3" hier="11" name="[Month].[Month].&amp;[Apr]" cap="Apr"/>
  </pageFields>
  <dataFields count="2">
    <dataField name="Budget" fld="2" baseField="0" baseItem="0"/>
    <dataField name="Expense" fld="4" baseField="0" baseItem="0" numFmtId="168"/>
  </dataFields>
  <formats count="2">
    <format dxfId="382">
      <pivotArea outline="0" collapsedLevelsAreSubtotals="1" fieldPosition="0"/>
    </format>
    <format dxfId="348">
      <pivotArea outline="0" fieldPosition="0">
        <references count="1">
          <reference field="4294967294" count="1">
            <x v="1"/>
          </reference>
        </references>
      </pivotArea>
    </format>
  </formats>
  <chartFormats count="18">
    <chartFormat chart="3" format="1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0" format="12" series="1">
      <pivotArea type="data" outline="0" fieldPosition="0">
        <references count="2">
          <reference field="4294967294" count="1" selected="0">
            <x v="0"/>
          </reference>
          <reference field="0" count="1" selected="0">
            <x v="3"/>
          </reference>
        </references>
      </pivotArea>
    </chartFormat>
    <chartFormat chart="0" format="13" series="1">
      <pivotArea type="data" outline="0" fieldPosition="0">
        <references count="2">
          <reference field="4294967294" count="1" selected="0">
            <x v="0"/>
          </reference>
          <reference field="0" count="1" selected="0">
            <x v="4"/>
          </reference>
        </references>
      </pivotArea>
    </chartFormat>
    <chartFormat chart="0" format="14" series="1">
      <pivotArea type="data" outline="0" fieldPosition="0">
        <references count="2">
          <reference field="4294967294" count="1" selected="0">
            <x v="0"/>
          </reference>
          <reference field="0" count="1" selected="0">
            <x v="5"/>
          </reference>
        </references>
      </pivotArea>
    </chartFormat>
    <chartFormat chart="0" format="15" series="1">
      <pivotArea type="data" outline="0" fieldPosition="0">
        <references count="2">
          <reference field="4294967294" count="1" selected="0">
            <x v="0"/>
          </reference>
          <reference field="0" count="1" selected="0">
            <x v="6"/>
          </reference>
        </references>
      </pivotArea>
    </chartFormat>
    <chartFormat chart="0" format="16" series="1">
      <pivotArea type="data" outline="0" fieldPosition="0">
        <references count="2">
          <reference field="4294967294" count="1" selected="0">
            <x v="0"/>
          </reference>
          <reference field="0" count="1" selected="0">
            <x v="7"/>
          </reference>
        </references>
      </pivotArea>
    </chartFormat>
    <chartFormat chart="0" format="17" series="1">
      <pivotArea type="data" outline="0" fieldPosition="0">
        <references count="2">
          <reference field="4294967294" count="1" selected="0">
            <x v="0"/>
          </reference>
          <reference field="0" count="1" selected="0">
            <x v="8"/>
          </reference>
        </references>
      </pivotArea>
    </chartFormat>
    <chartFormat chart="0" format="18" series="1">
      <pivotArea type="data" outline="0" fieldPosition="0">
        <references count="2">
          <reference field="4294967294" count="1" selected="0">
            <x v="0"/>
          </reference>
          <reference field="0" count="1" selected="0">
            <x v="9"/>
          </reference>
        </references>
      </pivotArea>
    </chartFormat>
    <chartFormat chart="0" format="19" series="1">
      <pivotArea type="data" outline="0" fieldPosition="0">
        <references count="2">
          <reference field="4294967294" count="1" selected="0">
            <x v="0"/>
          </reference>
          <reference field="0" count="1" selected="0">
            <x v="10"/>
          </reference>
        </references>
      </pivotArea>
    </chartFormat>
    <chartFormat chart="0" format="20" series="1">
      <pivotArea type="data" outline="0" fieldPosition="0">
        <references count="2">
          <reference field="4294967294" count="1" selected="0">
            <x v="0"/>
          </reference>
          <reference field="0" count="1" selected="0">
            <x v="11"/>
          </reference>
        </references>
      </pivotArea>
    </chartFormat>
    <chartFormat chart="0" format="21" series="1">
      <pivotArea type="data" outline="0" fieldPosition="0">
        <references count="2">
          <reference field="4294967294" count="1" selected="0">
            <x v="0"/>
          </reference>
          <reference field="0" count="1" selected="0">
            <x v="12"/>
          </reference>
        </references>
      </pivotArea>
    </chartFormat>
    <chartFormat chart="0" format="22" series="1">
      <pivotArea type="data" outline="0" fieldPosition="0">
        <references count="2">
          <reference field="4294967294" count="1" selected="0">
            <x v="0"/>
          </reference>
          <reference field="0" count="1" selected="0">
            <x v="13"/>
          </reference>
        </references>
      </pivotArea>
    </chartFormat>
    <chartFormat chart="0" format="23">
      <pivotArea type="data" outline="0" fieldPosition="0">
        <references count="2">
          <reference field="4294967294" count="1" selected="0">
            <x v="0"/>
          </reference>
          <reference field="0" count="1" selected="0">
            <x v="1"/>
          </reference>
        </references>
      </pivotArea>
    </chartFormat>
    <chartFormat chart="14" format="27"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14" format="28"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
    <pivotHierarchy dragToRow="0" dragToCol="0" dragToPage="0" dragToData="1"/>
    <pivotHierarchy dragToData="1"/>
    <pivotHierarchy dragToRow="0" dragToCol="0" dragToPage="0" dragToData="1" caption="Expense"/>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F670C6-2622-4483-B702-50E834C7A3FE}" name="ActualbyCatPivot" cacheId="1826" applyNumberFormats="0" applyBorderFormats="0" applyFontFormats="0" applyPatternFormats="0" applyAlignmentFormats="0" applyWidthHeightFormats="1" dataCaption="Values" tag="007c1602-7f09-4336-a6d0-643eef38fe8c" updatedVersion="6" minRefreshableVersion="3" useAutoFormatting="1" subtotalHiddenItems="1" itemPrintTitles="1" createdVersion="6" indent="0" outline="1" outlineData="1" multipleFieldFilters="0" chartFormat="13" rowHeaderCaption="Category">
  <location ref="A4:C37" firstHeaderRow="0" firstDataRow="1" firstDataCol="1" rowPageCount="2" colPageCount="1"/>
  <pivotFields count="6">
    <pivotField axis="axisRow" allDrilled="1" showAll="0" dataSourceSort="1" defaultAttributeDrillState="1">
      <items count="10">
        <item x="0"/>
        <item x="1"/>
        <item x="2"/>
        <item x="3"/>
        <item x="4"/>
        <item x="5"/>
        <item x="6"/>
        <item x="7"/>
        <item x="8"/>
        <item t="default"/>
      </items>
    </pivotField>
    <pivotField axis="axisPage" allDrilled="1" showAll="0" dataSourceSort="1" defaultAttributeDrillState="1">
      <items count="1">
        <item t="default"/>
      </items>
    </pivotField>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xis="axisPage" allDrilled="1" showAll="0" dataSourceSort="1" defaultAttributeDrillState="1">
      <items count="1">
        <item t="default"/>
      </items>
    </pivotField>
    <pivotField dataField="1" showAll="0"/>
    <pivotField dataField="1" showAll="0"/>
  </pivotFields>
  <rowFields count="2">
    <field x="0"/>
    <field x="2"/>
  </rowFields>
  <rowItems count="33">
    <i>
      <x/>
    </i>
    <i r="1">
      <x/>
    </i>
    <i r="1">
      <x v="1"/>
    </i>
    <i r="1">
      <x v="2"/>
    </i>
    <i r="1">
      <x v="3"/>
    </i>
    <i>
      <x v="1"/>
    </i>
    <i r="1">
      <x v="4"/>
    </i>
    <i r="1">
      <x v="5"/>
    </i>
    <i>
      <x v="2"/>
    </i>
    <i r="1">
      <x v="6"/>
    </i>
    <i r="1">
      <x v="7"/>
    </i>
    <i>
      <x v="3"/>
    </i>
    <i r="1">
      <x v="8"/>
    </i>
    <i r="1">
      <x v="9"/>
    </i>
    <i r="1">
      <x v="10"/>
    </i>
    <i>
      <x v="4"/>
    </i>
    <i r="1">
      <x v="11"/>
    </i>
    <i r="1">
      <x v="12"/>
    </i>
    <i r="1">
      <x v="13"/>
    </i>
    <i r="1">
      <x v="14"/>
    </i>
    <i>
      <x v="5"/>
    </i>
    <i r="1">
      <x v="15"/>
    </i>
    <i r="1">
      <x v="16"/>
    </i>
    <i>
      <x v="6"/>
    </i>
    <i r="1">
      <x v="17"/>
    </i>
    <i r="1">
      <x v="18"/>
    </i>
    <i>
      <x v="7"/>
    </i>
    <i r="1">
      <x v="19"/>
    </i>
    <i>
      <x v="8"/>
    </i>
    <i r="1">
      <x v="20"/>
    </i>
    <i r="1">
      <x v="21"/>
    </i>
    <i r="1">
      <x v="22"/>
    </i>
    <i t="grand">
      <x/>
    </i>
  </rowItems>
  <colFields count="1">
    <field x="-2"/>
  </colFields>
  <colItems count="2">
    <i>
      <x/>
    </i>
    <i i="1">
      <x v="1"/>
    </i>
  </colItems>
  <pageFields count="2">
    <pageField fld="1" hier="31" name="[Year].[Year].&amp;[2021]" cap="2021"/>
    <pageField fld="3" hier="11" name="[Month].[Month].&amp;[Apr]" cap="Apr"/>
  </pageFields>
  <dataFields count="2">
    <dataField name="Sum of Actual Income" fld="4" baseField="0" baseItem="0" numFmtId="42"/>
    <dataField name="Sum of Actual Expense" fld="5" baseField="0" baseItem="0"/>
  </dataFields>
  <formats count="2">
    <format dxfId="381">
      <pivotArea outline="0" fieldPosition="0">
        <references count="1">
          <reference field="4294967294" count="1">
            <x v="0"/>
          </reference>
        </references>
      </pivotArea>
    </format>
    <format dxfId="380">
      <pivotArea outline="0" collapsedLevelsAreSubtotals="1" fieldPosition="0"/>
    </format>
  </formats>
  <chartFormats count="5">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0" count="1" selected="0">
            <x v="0"/>
          </reference>
          <reference field="2"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F0D55A-8A78-40DE-B190-03C2F77CC875}" name="PlanvActualFullYearPivot" cacheId="912" applyNumberFormats="0" applyBorderFormats="0" applyFontFormats="0" applyPatternFormats="0" applyAlignmentFormats="0" applyWidthHeightFormats="1" dataCaption="Values" tag="b3336dbb-ac34-46e0-87f1-56a37f1f082a" updatedVersion="6" minRefreshableVersion="3" useAutoFormatting="1" subtotalHiddenItems="1" colGrandTotals="0" itemPrintTitles="1" createdVersion="6" indent="0" outline="1" outlineData="1" multipleFieldFilters="0" chartFormat="12" rowHeaderCaption="Category" colHeaderCaption="Month">
  <location ref="A3:C15" firstHeaderRow="0"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2">
    <i>
      <x/>
    </i>
    <i r="1">
      <x/>
    </i>
    <i r="1">
      <x v="1"/>
    </i>
    <i r="1">
      <x v="2"/>
    </i>
    <i r="1">
      <x v="3"/>
    </i>
    <i r="1">
      <x v="4"/>
    </i>
    <i r="1">
      <x v="5"/>
    </i>
    <i r="1">
      <x v="6"/>
    </i>
    <i r="1">
      <x v="7"/>
    </i>
    <i r="1">
      <x v="8"/>
    </i>
    <i r="1">
      <x v="9"/>
    </i>
    <i t="grand">
      <x/>
    </i>
  </rowItems>
  <colFields count="1">
    <field x="-2"/>
  </colFields>
  <colItems count="2">
    <i>
      <x/>
    </i>
    <i i="1">
      <x v="1"/>
    </i>
  </colItems>
  <dataFields count="2">
    <dataField name="Sum of Plan Budget" fld="2" baseField="0" baseItem="0"/>
    <dataField name="Sum of Actual Expense" fld="3" baseField="0" baseItem="0"/>
  </dataFields>
  <formats count="1">
    <format dxfId="379">
      <pivotArea outline="0" collapsedLevelsAreSubtotals="1" fieldPosition="0"/>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Expenses"/>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
        <x15:activeTabTopLevelEntity name="[Month]"/>
        <x15:activeTabTopLevelEntity name="[Data]"/>
        <x15:activeTabTopLevelEntity name="[Plan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24FBF7-A6B5-4288-9667-7E6E94734CA5}" name="PlanPivot" cacheId="1811" applyNumberFormats="0" applyBorderFormats="0" applyFontFormats="0" applyPatternFormats="0" applyAlignmentFormats="0" applyWidthHeightFormats="1" dataCaption="Values" tag="c4c5d338-0635-4de3-8475-0945d5a9739b" updatedVersion="6" minRefreshableVersion="3" useAutoFormatting="1" subtotalHiddenItems="1" itemPrintTitles="1" createdVersion="6" indent="0" outline="1" outlineData="1" multipleFieldFilters="0" chartFormat="3" rowHeaderCaption="Category">
  <location ref="A4:C12" firstHeaderRow="0" firstDataRow="1" firstDataCol="1" rowPageCount="2" colPageCount="1"/>
  <pivotFields count="6">
    <pivotField axis="axisRow" allDrilled="1" subtotalTop="0" showAll="0" measureFilter="1"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8">
    <i>
      <x/>
    </i>
    <i>
      <x v="1"/>
    </i>
    <i>
      <x v="2"/>
    </i>
    <i>
      <x v="3"/>
    </i>
    <i>
      <x v="4"/>
    </i>
    <i>
      <x v="5"/>
    </i>
    <i>
      <x v="6"/>
    </i>
    <i t="grand">
      <x/>
    </i>
  </rowItems>
  <colFields count="1">
    <field x="-2"/>
  </colFields>
  <colItems count="2">
    <i>
      <x/>
    </i>
    <i i="1">
      <x v="1"/>
    </i>
  </colItems>
  <pageFields count="2">
    <pageField fld="1" hier="31" name="[Year].[Year].&amp;[2021]" cap="2021"/>
    <pageField fld="2" hier="11" name="[Month].[Month].&amp;[Apr]" cap="Apr"/>
  </pageFields>
  <dataFields count="2">
    <dataField name="Sum of Plan Budget" fld="3" baseField="0" baseItem="0" numFmtId="42"/>
    <dataField name="% of Plan Budget" fld="5" showDataAs="percentOfTotal" baseField="0" baseItem="0" numFmtId="9">
      <extLst>
        <ext xmlns:x14="http://schemas.microsoft.com/office/spreadsheetml/2009/9/main" uri="{E15A36E0-9728-4e99-A89B-3F7291B0FE68}">
          <x14:dataField sourceField="3" uniqueName="[__Xl2].[Measures].[Sum of Plan Budget]"/>
        </ext>
      </extLst>
    </dataField>
  </dataFields>
  <formats count="3">
    <format dxfId="378">
      <pivotArea outline="0" collapsedLevelsAreSubtotals="1" fieldPosition="0"/>
    </format>
    <format dxfId="377">
      <pivotArea outline="0" fieldPosition="0">
        <references count="1">
          <reference field="4294967294" count="1">
            <x v="0"/>
          </reference>
        </references>
      </pivotArea>
    </format>
    <format dxfId="376">
      <pivotArea outline="0" fieldPosition="0">
        <references count="1">
          <reference field="4294967294" count="1">
            <x v="1"/>
          </reference>
        </references>
      </pivotArea>
    </format>
  </formats>
  <chartFormats count="48">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0" count="1" selected="0">
            <x v="9"/>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0"/>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3"/>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5"/>
          </reference>
        </references>
      </pivotArea>
    </chartFormat>
    <chartFormat chart="2" format="27">
      <pivotArea type="data" outline="0" fieldPosition="0">
        <references count="2">
          <reference field="4294967294" count="1" selected="0">
            <x v="0"/>
          </reference>
          <reference field="0" count="1" selected="0">
            <x v="10"/>
          </reference>
        </references>
      </pivotArea>
    </chartFormat>
    <chartFormat chart="2" format="28">
      <pivotArea type="data" outline="0" fieldPosition="0">
        <references count="2">
          <reference field="4294967294" count="1" selected="0">
            <x v="0"/>
          </reference>
          <reference field="0" count="1" selected="0">
            <x v="8"/>
          </reference>
        </references>
      </pivotArea>
    </chartFormat>
    <chartFormat chart="2" format="29">
      <pivotArea type="data" outline="0" fieldPosition="0">
        <references count="2">
          <reference field="4294967294" count="1" selected="0">
            <x v="0"/>
          </reference>
          <reference field="0" count="1" selected="0">
            <x v="9"/>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series="1">
      <pivotArea type="data" outline="0" fieldPosition="0">
        <references count="1">
          <reference field="4294967294" count="1" selected="0">
            <x v="1"/>
          </reference>
        </references>
      </pivotArea>
    </chartFormat>
    <chartFormat chart="2" format="30" series="1">
      <pivotArea type="data" outline="0" fieldPosition="0">
        <references count="1">
          <reference field="4294967294" count="1" selected="0">
            <x v="1"/>
          </reference>
        </references>
      </pivotArea>
    </chartFormat>
    <chartFormat chart="2" format="31">
      <pivotArea type="data" outline="0" fieldPosition="0">
        <references count="2">
          <reference field="4294967294" count="1" selected="0">
            <x v="1"/>
          </reference>
          <reference field="0" count="1" selected="0">
            <x v="0"/>
          </reference>
        </references>
      </pivotArea>
    </chartFormat>
    <chartFormat chart="2" format="32">
      <pivotArea type="data" outline="0" fieldPosition="0">
        <references count="2">
          <reference field="4294967294" count="1" selected="0">
            <x v="1"/>
          </reference>
          <reference field="0" count="1" selected="0">
            <x v="1"/>
          </reference>
        </references>
      </pivotArea>
    </chartFormat>
    <chartFormat chart="2" format="33">
      <pivotArea type="data" outline="0" fieldPosition="0">
        <references count="2">
          <reference field="4294967294" count="1" selected="0">
            <x v="1"/>
          </reference>
          <reference field="0" count="1" selected="0">
            <x v="2"/>
          </reference>
        </references>
      </pivotArea>
    </chartFormat>
    <chartFormat chart="2" format="34">
      <pivotArea type="data" outline="0" fieldPosition="0">
        <references count="2">
          <reference field="4294967294" count="1" selected="0">
            <x v="1"/>
          </reference>
          <reference field="0" count="1" selected="0">
            <x v="3"/>
          </reference>
        </references>
      </pivotArea>
    </chartFormat>
    <chartFormat chart="2" format="35">
      <pivotArea type="data" outline="0" fieldPosition="0">
        <references count="2">
          <reference field="4294967294" count="1" selected="0">
            <x v="1"/>
          </reference>
          <reference field="0" count="1" selected="0">
            <x v="4"/>
          </reference>
        </references>
      </pivotArea>
    </chartFormat>
    <chartFormat chart="2" format="36">
      <pivotArea type="data" outline="0" fieldPosition="0">
        <references count="2">
          <reference field="4294967294" count="1" selected="0">
            <x v="1"/>
          </reference>
          <reference field="0" count="1" selected="0">
            <x v="5"/>
          </reference>
        </references>
      </pivotArea>
    </chartFormat>
    <chartFormat chart="2" format="37">
      <pivotArea type="data" outline="0" fieldPosition="0">
        <references count="2">
          <reference field="4294967294" count="1" selected="0">
            <x v="1"/>
          </reference>
          <reference field="0" count="1" selected="0">
            <x v="8"/>
          </reference>
        </references>
      </pivotArea>
    </chartFormat>
    <chartFormat chart="0" format="14">
      <pivotArea type="data" outline="0" fieldPosition="0">
        <references count="2">
          <reference field="4294967294" count="1" selected="0">
            <x v="0"/>
          </reference>
          <reference field="0" count="1" selected="0">
            <x v="3"/>
          </reference>
        </references>
      </pivotArea>
    </chartFormat>
    <chartFormat chart="0" format="15">
      <pivotArea type="data" outline="0" fieldPosition="0">
        <references count="2">
          <reference field="4294967294" count="1" selected="0">
            <x v="0"/>
          </reference>
          <reference field="0" count="1" selected="0">
            <x v="4"/>
          </reference>
        </references>
      </pivotArea>
    </chartFormat>
    <chartFormat chart="0" format="16">
      <pivotArea type="data" outline="0" fieldPosition="0">
        <references count="2">
          <reference field="4294967294" count="1" selected="0">
            <x v="0"/>
          </reference>
          <reference field="0" count="1" selected="0">
            <x v="5"/>
          </reference>
        </references>
      </pivotArea>
    </chartFormat>
    <chartFormat chart="0" format="17">
      <pivotArea type="data" outline="0" fieldPosition="0">
        <references count="2">
          <reference field="4294967294" count="1" selected="0">
            <x v="0"/>
          </reference>
          <reference field="0" count="1" selected="0">
            <x v="8"/>
          </reference>
        </references>
      </pivotArea>
    </chartFormat>
    <chartFormat chart="0" format="18">
      <pivotArea type="data" outline="0" fieldPosition="0">
        <references count="2">
          <reference field="4294967294" count="1" selected="0">
            <x v="1"/>
          </reference>
          <reference field="0" count="1" selected="0">
            <x v="0"/>
          </reference>
        </references>
      </pivotArea>
    </chartFormat>
    <chartFormat chart="0" format="19">
      <pivotArea type="data" outline="0" fieldPosition="0">
        <references count="2">
          <reference field="4294967294" count="1" selected="0">
            <x v="1"/>
          </reference>
          <reference field="0" count="1" selected="0">
            <x v="1"/>
          </reference>
        </references>
      </pivotArea>
    </chartFormat>
    <chartFormat chart="0" format="20">
      <pivotArea type="data" outline="0" fieldPosition="0">
        <references count="2">
          <reference field="4294967294" count="1" selected="0">
            <x v="1"/>
          </reference>
          <reference field="0" count="1" selected="0">
            <x v="2"/>
          </reference>
        </references>
      </pivotArea>
    </chartFormat>
    <chartFormat chart="0" format="21">
      <pivotArea type="data" outline="0" fieldPosition="0">
        <references count="2">
          <reference field="4294967294" count="1" selected="0">
            <x v="1"/>
          </reference>
          <reference field="0" count="1" selected="0">
            <x v="3"/>
          </reference>
        </references>
      </pivotArea>
    </chartFormat>
    <chartFormat chart="0" format="22">
      <pivotArea type="data" outline="0" fieldPosition="0">
        <references count="2">
          <reference field="4294967294" count="1" selected="0">
            <x v="1"/>
          </reference>
          <reference field="0" count="1" selected="0">
            <x v="4"/>
          </reference>
        </references>
      </pivotArea>
    </chartFormat>
    <chartFormat chart="0" format="23">
      <pivotArea type="data" outline="0" fieldPosition="0">
        <references count="2">
          <reference field="4294967294" count="1" selected="0">
            <x v="1"/>
          </reference>
          <reference field="0" count="1" selected="0">
            <x v="5"/>
          </reference>
        </references>
      </pivotArea>
    </chartFormat>
    <chartFormat chart="0" format="24">
      <pivotArea type="data" outline="0" fieldPosition="0">
        <references count="2">
          <reference field="4294967294" count="1" selected="0">
            <x v="1"/>
          </reference>
          <reference field="0" count="1" selected="0">
            <x v="8"/>
          </reference>
        </references>
      </pivotArea>
    </chartFormat>
    <chartFormat chart="2" format="38">
      <pivotArea type="data" outline="0" fieldPosition="0">
        <references count="2">
          <reference field="4294967294" count="1" selected="0">
            <x v="1"/>
          </reference>
          <reference field="0" count="1" selected="0">
            <x v="10"/>
          </reference>
        </references>
      </pivotArea>
    </chartFormat>
    <chartFormat chart="0" format="25">
      <pivotArea type="data" outline="0" fieldPosition="0">
        <references count="2">
          <reference field="4294967294" count="1" selected="0">
            <x v="0"/>
          </reference>
          <reference field="0" count="1" selected="0">
            <x v="10"/>
          </reference>
        </references>
      </pivotArea>
    </chartFormat>
    <chartFormat chart="0" format="26">
      <pivotArea type="data" outline="0" fieldPosition="0">
        <references count="2">
          <reference field="4294967294" count="1" selected="0">
            <x v="1"/>
          </reference>
          <reference field="0" count="1" selected="0">
            <x v="10"/>
          </reference>
        </references>
      </pivotArea>
    </chartFormat>
    <chartFormat chart="2" format="39">
      <pivotArea type="data" outline="0" fieldPosition="0">
        <references count="2">
          <reference field="4294967294" count="1" selected="0">
            <x v="0"/>
          </reference>
          <reference field="0" count="1" selected="0">
            <x v="6"/>
          </reference>
        </references>
      </pivotArea>
    </chartFormat>
    <chartFormat chart="2" format="40">
      <pivotArea type="data" outline="0" fieldPosition="0">
        <references count="2">
          <reference field="4294967294" count="1" selected="0">
            <x v="1"/>
          </reference>
          <reference field="0" count="1" selected="0">
            <x v="6"/>
          </reference>
        </references>
      </pivotArea>
    </chartFormat>
    <chartFormat chart="0" format="27">
      <pivotArea type="data" outline="0" fieldPosition="0">
        <references count="2">
          <reference field="4294967294" count="1" selected="0">
            <x v="0"/>
          </reference>
          <reference field="0" count="1" selected="0">
            <x v="6"/>
          </reference>
        </references>
      </pivotArea>
    </chartFormat>
    <chartFormat chart="0" format="28">
      <pivotArea type="data" outline="0" fieldPosition="0">
        <references count="2">
          <reference field="4294967294" count="1" selected="0">
            <x v="1"/>
          </reference>
          <reference field="0" count="1" selected="0">
            <x v="6"/>
          </reference>
        </references>
      </pivotArea>
    </chartFormat>
    <chartFormat chart="2" format="41">
      <pivotArea type="data" outline="0" fieldPosition="0">
        <references count="2">
          <reference field="4294967294" count="1" selected="0">
            <x v="0"/>
          </reference>
          <reference field="0" count="1" selected="0">
            <x v="7"/>
          </reference>
        </references>
      </pivotArea>
    </chartFormat>
    <chartFormat chart="2" format="42">
      <pivotArea type="data" outline="0" fieldPosition="0">
        <references count="2">
          <reference field="4294967294" count="1" selected="0">
            <x v="1"/>
          </reference>
          <reference field="0" count="1" selected="0">
            <x v="7"/>
          </reference>
        </references>
      </pivotArea>
    </chartFormat>
    <chartFormat chart="0" format="29">
      <pivotArea type="data" outline="0" fieldPosition="0">
        <references count="2">
          <reference field="4294967294" count="1" selected="0">
            <x v="0"/>
          </reference>
          <reference field="0" count="1" selected="0">
            <x v="7"/>
          </reference>
        </references>
      </pivotArea>
    </chartFormat>
    <chartFormat chart="0" format="30">
      <pivotArea type="data" outline="0" fieldPosition="0">
        <references count="2">
          <reference field="4294967294" count="1" selected="0">
            <x v="1"/>
          </reference>
          <reference field="0" count="1" selected="0">
            <x v="7"/>
          </reference>
        </references>
      </pivotArea>
    </chartFormat>
    <chartFormat chart="2" format="43">
      <pivotArea type="data" outline="0" fieldPosition="0">
        <references count="2">
          <reference field="4294967294" count="1" selected="0">
            <x v="1"/>
          </reference>
          <reference field="0" count="1" selected="0">
            <x v="9"/>
          </reference>
        </references>
      </pivotArea>
    </chartFormat>
    <chartFormat chart="0" format="31">
      <pivotArea type="data" outline="0" fieldPosition="0">
        <references count="2">
          <reference field="4294967294" count="1" selected="0">
            <x v="1"/>
          </reference>
          <reference field="0" count="1" selected="0">
            <x v="9"/>
          </reference>
        </references>
      </pivotArea>
    </chartFormat>
  </chartFormats>
  <pivotHierarchies count="57">
    <pivotHierarchy dragToData="1"/>
    <pivotHierarchy multipleItemSelectionAllowed="1" dragToData="1"/>
    <pivotHierarchy dragToData="1"/>
    <pivotHierarchy multipleItemSelectionAllowed="1" dragToData="1">
      <members count="13" level="1">
        <member name="[Data].[Sub-Category].&amp;"/>
        <member name="[Data].[Sub-Category].&amp;[Cryptocurrencies]"/>
        <member name="[Data].[Sub-Category].&amp;[Dining out]"/>
        <member name="[Data].[Sub-Category].&amp;[Drink]"/>
        <member name="[Data].[Sub-Category].&amp;[Fuel]"/>
        <member name="[Data].[Sub-Category].&amp;[Gold]"/>
        <member name="[Data].[Sub-Category].&amp;[Groceries]"/>
        <member name="[Data].[Sub-Category].&amp;[Investment account]"/>
        <member name="[Data].[Sub-Category].&amp;[Mortgage or rent]"/>
        <member name="[Data].[Sub-Category].&amp;[Other]"/>
        <member name="[Data].[Sub-Category].&amp;[Parking]"/>
        <member name="[Data].[Sub-Category].&amp;[Retirement account]"/>
        <member name="[Data].[Sub-Category].&amp;[Technology]"/>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valueGreaterThan" id="1" iMeasureHier="51">
      <autoFilter ref="A1">
        <filterColumn colId="0">
          <customFilters>
            <customFilter operator="greaterThan" val="0"/>
          </customFilters>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DC21502-70F5-4FCF-9957-EAAE8C809A78}" sourceName="[Category].[Category]">
  <pivotTables>
    <pivotTable tabId="22" name="ReportActualPivot"/>
    <pivotTable tabId="28" name="ActualbyCatPivot"/>
    <pivotTable tabId="25" name="PlanvActualbyCatPivot"/>
    <pivotTable tabId="24" name="PlanvActualFullYearPivot"/>
    <pivotTable tabId="27" name="ReportPlanPivot"/>
  </pivotTables>
  <data>
    <olap pivotCacheId="1521618796">
      <levels count="2">
        <level uniqueName="[Category].[Category].[(All)]" sourceCaption="(All)" count="0"/>
        <level uniqueName="[Category].[Category].[Category]" sourceCaption="Category" count="15">
          <ranges>
            <range startItem="0">
              <i n="[Category].[Category].&amp;[Income]" c="Income"/>
              <i n="[Category].[Category].&amp;[Housing]" c="Housing"/>
              <i n="[Category].[Category].&amp;[Savings or Investments]" c="Savings or Investments"/>
              <i n="[Category].[Category].&amp;[Food]" c="Food"/>
              <i n="[Category].[Category].&amp;[Transportation]" c="Transportation"/>
              <i n="[Category].[Category].&amp;[Personal Care]" c="Personal Care"/>
              <i n="[Category].[Category].&amp;[Shopping]" c="Shopping"/>
              <i n="[Category].[Category].&amp;[Entertainment]" c="Entertainment"/>
              <i n="[Category].[Category].&amp;[Insurance]" c="Insurance"/>
              <i n="[Category].[Category].&amp;[Gifts and Donations]" c="Gifts and Donations"/>
              <i n="[Category].[Category].&amp;[Legal]" c="Legal"/>
              <i n="[Category].[Category].&amp;[Taxes]" c="Taxes"/>
              <i n="[Category].[Category].&amp;[Pets]" c="Pets"/>
              <i n="[Category].[Category].&amp;[Loans]" c="Loans"/>
              <i n="[Category].[Category].&amp;[Other]" c="Other"/>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36F9E3-2724-4359-8BA5-54E62C4002D7}" sourceName="[Month].[Month]">
  <pivotTables>
    <pivotTable tabId="20" name="PlanPivot"/>
    <pivotTable tabId="22" name="ReportActualPivot"/>
    <pivotTable tabId="23" name="ActualPivot"/>
    <pivotTable tabId="25" name="PlanvActualbyCatPivot"/>
    <pivotTable tabId="27" name="ReportPlanPivot"/>
    <pivotTable tabId="28" name="ActualbyCatPivot"/>
    <pivotTable tabId="34" name="PivotTable1"/>
  </pivotTables>
  <data>
    <olap pivotCacheId="1521618796">
      <levels count="2">
        <level uniqueName="[Month].[Month].[(All)]" sourceCaption="(All)" count="0"/>
        <level uniqueName="[Month].[Month].[Month]" sourceCaption="Month" count="13">
          <ranges>
            <range startItem="0">
              <i n="[Month].[Month].&amp;[Jan]" c="Jan"/>
              <i n="[Month].[Month].&amp;[Feb]" c="Feb"/>
              <i n="[Month].[Month].&amp;[Mar]" c="Mar"/>
              <i n="[Month].[Month].&amp;[Apr]" c="Apr"/>
              <i n="[Month].[Month].&amp;[May]" c="May"/>
              <i n="[Month].[Month].&amp;[Jun]" c="Jun"/>
              <i n="[Month].[Month].&amp;[Jul]" c="Jul"/>
              <i n="[Month].[Month].&amp;[Aug]" c="Aug"/>
              <i n="[Month].[Month].&amp;[Sep]" c="Sep"/>
              <i n="[Month].[Month].&amp;[Oct]" c="Oct"/>
              <i n="[Month].[Month].&amp;[Nov]" c="Nov" nd="1"/>
              <i n="[Month].[Month].&amp;[Dec]" c="Dec" nd="1"/>
              <i n="[Month].[Month].&amp;" c="(blank)" nd="1"/>
            </range>
          </ranges>
        </level>
      </levels>
      <selections count="1">
        <selection n="[Month].[Month].&amp;[Apr]"/>
      </selections>
    </olap>
  </data>
  <extLst>
    <x:ext xmlns:x15="http://schemas.microsoft.com/office/spreadsheetml/2010/11/main" uri="{470722E0-AACD-4C17-9CDC-17EF765DBC7E}">
      <x15:slicerCacheHideItemsWithNoData count="1">
        <x15:slicerCacheOlapLevelName uniqueName="[Month].[Month].[Month]" count="3"/>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6E444F-8463-4983-A4FE-C389B2E89B23}" sourceName="[Year].[Year]">
  <pivotTables>
    <pivotTable tabId="20" name="PlanPivot"/>
    <pivotTable tabId="22" name="ReportActualPivot"/>
    <pivotTable tabId="23" name="ActualPivot"/>
    <pivotTable tabId="25" name="PlanvActualbyCatPivot"/>
    <pivotTable tabId="27" name="ReportPlanPivot"/>
    <pivotTable tabId="24" name="PlanvActualFullYearPivot"/>
    <pivotTable tabId="28" name="ActualbyCatPivot"/>
    <pivotTable tabId="34" name="PivotTable1"/>
  </pivotTables>
  <data>
    <olap pivotCacheId="1521618796">
      <levels count="2">
        <level uniqueName="[Year].[Year].[(All)]" sourceCaption="(All)" count="0"/>
        <level uniqueName="[Year].[Year].[Year]" sourceCaption="Year" count="3">
          <ranges>
            <range startItem="0">
              <i n="[Year].[Year].&amp;[2021]" c="2021"/>
              <i n="[Year].[Year].&amp;[2020]" c="2020" nd="1"/>
              <i n="[Year].[Year].&amp;" c="(blank)" nd="1"/>
            </range>
          </ranges>
        </level>
      </levels>
      <selections count="1">
        <selection n="[Year].[Year].&amp;[2021]"/>
      </selections>
    </olap>
  </data>
  <extLst>
    <x:ext xmlns:x15="http://schemas.microsoft.com/office/spreadsheetml/2010/11/main" uri="{470722E0-AACD-4C17-9CDC-17EF765DBC7E}">
      <x15:slicerCacheHideItemsWithNoData count="1">
        <x15:slicerCacheOlapLevelName uniqueName="[Year].[Year].[Year]" count="2"/>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AB4E487-0621-487C-B05F-FF580AF5E134}" sourceName="[Data].[Sub-Category]">
  <pivotTables>
    <pivotTable tabId="28" name="ActualbyCatPivot"/>
    <pivotTable tabId="25" name="PlanvActualbyCatPivot"/>
    <pivotTable tabId="22" name="ReportActualPivot"/>
    <pivotTable tabId="27" name="ReportPlanPivot"/>
    <pivotTable tabId="34" name="PivotTable1"/>
  </pivotTables>
  <data>
    <olap pivotCacheId="1521618796">
      <levels count="2">
        <level uniqueName="[Data].[Sub-Category].[(All)]" sourceCaption="(All)" count="0"/>
        <level uniqueName="[Data].[Sub-Category].[Sub-Category]" sourceCaption="Sub-Category" count="47">
          <ranges>
            <range startItem="0">
              <i n="[Data].[Sub-Category].&amp;[Amazon]" c="Amazon"/>
              <i n="[Data].[Sub-Category].&amp;[Bank Profit]" c="Bank Profit"/>
              <i n="[Data].[Sub-Category].&amp;[Biking]" c="Biking"/>
              <i n="[Data].[Sub-Category].&amp;[by Apple Card]" c="by Apple Card"/>
              <i n="[Data].[Sub-Category].&amp;[Camping]" c="Camping"/>
              <i n="[Data].[Sub-Category].&amp;[Car Project]" c="Car Project"/>
              <i n="[Data].[Sub-Category].&amp;[Cash withdraw]" c="Cash withdraw"/>
              <i n="[Data].[Sub-Category].&amp;[Clothes]" c="Clothes"/>
              <i n="[Data].[Sub-Category].&amp;[Cryptocurrencies]" c="Cryptocurrencies"/>
              <i n="[Data].[Sub-Category].&amp;[Dining out]" c="Dining out"/>
              <i n="[Data].[Sub-Category].&amp;[Drink]" c="Drink"/>
              <i n="[Data].[Sub-Category].&amp;[Family]" c="Family"/>
              <i n="[Data].[Sub-Category].&amp;[Food Delivery Job]" c="Food Delivery Job"/>
              <i n="[Data].[Sub-Category].&amp;[Friends]" c="Friends"/>
              <i n="[Data].[Sub-Category].&amp;[Fuel]" c="Fuel"/>
              <i n="[Data].[Sub-Category].&amp;[Gold]" c="Gold"/>
              <i n="[Data].[Sub-Category].&amp;[Groceries]" c="Groceries"/>
              <i n="[Data].[Sub-Category].&amp;[Hair/nails]" c="Hair/nails"/>
              <i n="[Data].[Sub-Category].&amp;[Health]" c="Health"/>
              <i n="[Data].[Sub-Category].&amp;[Insurance]" c="Insurance"/>
              <i n="[Data].[Sub-Category].&amp;[Investment account]" c="Investment account"/>
              <i n="[Data].[Sub-Category].&amp;[Investment Profit]" c="Investment Profit"/>
              <i n="[Data].[Sub-Category].&amp;[Job]" c="Job"/>
              <i n="[Data].[Sub-Category].&amp;[Maintenance]" c="Maintenance"/>
              <i n="[Data].[Sub-Category].&amp;[Medical]" c="Medical"/>
              <i n="[Data].[Sub-Category].&amp;[Mortgage or rent]" c="Mortgage or rent"/>
              <i n="[Data].[Sub-Category].&amp;[my love]" c="my love"/>
              <i n="[Data].[Sub-Category].&amp;[Other]" c="Other"/>
              <i n="[Data].[Sub-Category].&amp;[Parking]" c="Parking"/>
              <i n="[Data].[Sub-Category].&amp;[Personal Care Product]" c="Personal Care Product"/>
              <i n="[Data].[Sub-Category].&amp;[Pet Food]" c="Pet Food"/>
              <i n="[Data].[Sub-Category].&amp;[Phone]" c="Phone"/>
              <i n="[Data].[Sub-Category].&amp;[Piano lesson]" c="Piano lesson"/>
              <i n="[Data].[Sub-Category].&amp;[Printing]" c="Printing"/>
              <i n="[Data].[Sub-Category].&amp;[Resale]" c="Resale"/>
              <i n="[Data].[Sub-Category].&amp;[Resale Fee]" c="Resale Fee"/>
              <i n="[Data].[Sub-Category].&amp;[Retirement account]" c="Retirement account"/>
              <i n="[Data].[Sub-Category].&amp;[Safebox fee]" c="Safebox fee"/>
              <i n="[Data].[Sub-Category].&amp;[Saving Account]" c="Saving Account"/>
              <i n="[Data].[Sub-Category].&amp;[Service]" c="Service"/>
              <i n="[Data].[Sub-Category].&amp;[Shipping]" c="Shipping"/>
              <i n="[Data].[Sub-Category].&amp;[Stimulus]" c="Stimulus"/>
              <i n="[Data].[Sub-Category].&amp;[Technology]" c="Technology"/>
              <i n="[Data].[Sub-Category].&amp;[Teeth]" c="Teeth"/>
              <i n="[Data].[Sub-Category].&amp;[Travel]" c="Travel"/>
              <i n="[Data].[Sub-Category].&amp;[Vehicle payment]" c="Vehicle payment"/>
              <i n="[Data].[Sub-Category].&amp;[Violaion Fee]" c="Violaion Fee"/>
            </range>
          </ranges>
        </level>
      </levels>
      <selections count="1">
        <selection n="[Data].[Sub-Category].[All]"/>
      </selections>
    </olap>
  </data>
  <extLst>
    <x:ext xmlns:x15="http://schemas.microsoft.com/office/spreadsheetml/2010/11/main" uri="{470722E0-AACD-4C17-9CDC-17EF765DBC7E}">
      <x15:slicerCacheHideItemsWithNoData count="1">
        <x15:slicerCacheOlapLevelName uniqueName="[Data].[Sub-Category].[Sub-Categ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8F62ED5D-512E-46C8-AE2C-D362E6147ABD}" cache="Slicer_Category1" caption="Category" level="1" rowHeight="222250"/>
  <slicer name="Month 1" xr10:uid="{00E0254A-356C-4EB4-932D-A89338A5D05F}" cache="Slicer_Month" columnCount="2" level="1" rowHeight="222250"/>
  <slicer name="Year 1" xr10:uid="{320BA566-EFF9-4ED5-9E85-35B6F4ED7426}" cache="Slicer_Year" caption="Year" columnCount="2" showCaption="0" level="1" rowHeight="222250"/>
  <slicer name="Sub-Category" xr10:uid="{335957B5-3E9F-417D-91F9-A80D802B3F3A}" cache="Slicer_Sub_Category" caption="Sub-Category" level="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26C9625-E9CF-45DC-BE17-3DE7ED96BA4A}" name="Data" displayName="Data" ref="A1:K555">
  <autoFilter ref="A1:K555" xr:uid="{0F921E12-BF2C-4DF6-9D23-E7ACD7291D32}"/>
  <tableColumns count="11">
    <tableColumn id="10" xr3:uid="{E0AF45E1-5566-4780-BCC4-A737820248BD}" name="Year" dataDxfId="395">
      <calculatedColumnFormula>TEXT(Data[[#This Row],[Date]],"yyyy")</calculatedColumnFormula>
    </tableColumn>
    <tableColumn id="7" xr3:uid="{F96C0437-5AC2-41ED-AFF6-40930E0EBFAA}" name="Month" dataDxfId="394">
      <calculatedColumnFormula>TEXT(Data[[#This Row],[Date]],"mmm")</calculatedColumnFormula>
    </tableColumn>
    <tableColumn id="4" xr3:uid="{2CB25CFF-9EF5-4623-9F6D-4E77F64F6150}" name="Date" dataDxfId="393"/>
    <tableColumn id="1" xr3:uid="{964A7000-0BFF-4257-AD49-970BF268CA01}" name="Expenses" totalsRowLabel="Total"/>
    <tableColumn id="5" xr3:uid="{13BA6914-D9C2-4295-94E2-ECDF8015430B}" name="Category"/>
    <tableColumn id="6" xr3:uid="{4C776B7A-A1CA-4B86-A045-445289A55634}" name="Sub-Category"/>
    <tableColumn id="2" xr3:uid="{64118D37-1DFC-4AD7-A951-99EAC8060538}" name="Actual Expense" totalsRowFunction="sum" totalsRowDxfId="392" dataCellStyle="Currency" totalsRowCellStyle="Currency"/>
    <tableColumn id="8" xr3:uid="{F7B72CE1-061F-4898-90C4-279AB1048E54}" name="Actual Income"/>
    <tableColumn id="11" xr3:uid="{3C406826-0FCF-4E7D-92BB-1409B76E2849}" name="Balance" dataCellStyle="Currency">
      <calculatedColumnFormula>IFERROR(OFFSET(Data[[#This Row],[Balance]],-1,0)+Data[[#This Row],[Actual Income]]-Data[[#This Row],[Actual Expense]], Data[[#This Row],[Actual Income]])</calculatedColumnFormula>
    </tableColumn>
    <tableColumn id="9" xr3:uid="{DA031B73-824C-41DE-8EE9-86BAB5181CFC}" name="Saving/Investment" dataDxfId="347" dataCellStyle="Currency">
      <calculatedColumnFormula>IF(Data[[#This Row],[Category]]="Savings or Investments", Data[[#This Row],[Actual Expense]],0)</calculatedColumnFormula>
    </tableColumn>
    <tableColumn id="3" xr3:uid="{CC836150-B6CD-4913-9222-87BEECAA2F71}" name="Card"/>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E1E11CB-33CA-4654-AF26-3336C7695B4A}" name="Plan_Data" displayName="Plan_Data" ref="A1:G151" totalsRowShown="0" headerRowDxfId="391" headerRowCellStyle="Heading 3">
  <autoFilter ref="A1:G151" xr:uid="{114C5CC1-C8D5-4325-9331-10D422948BD9}"/>
  <tableColumns count="7">
    <tableColumn id="5" xr3:uid="{1EDD5B6C-3D5F-4339-ABD6-98754F112657}" name="Year" dataDxfId="390"/>
    <tableColumn id="1" xr3:uid="{B4C048AC-C027-4342-9C5D-55583F95E4A2}" name="Month" dataDxfId="389"/>
    <tableColumn id="2" xr3:uid="{4A8B63CD-FFCA-465B-B3A6-BA2360BF6304}" name="Category">
      <calculatedColumnFormula>UniqueLists!B3</calculatedColumnFormula>
    </tableColumn>
    <tableColumn id="6" xr3:uid="{9CC6B80E-2B34-430D-83D2-D409C3EF29D5}" name="Plan Income" dataCellStyle="Currency"/>
    <tableColumn id="3" xr3:uid="{217A379F-097F-4481-BE3F-FCF56D411394}" name="Plan Budget" dataDxfId="388" dataCellStyle="Currency"/>
    <tableColumn id="4" xr3:uid="{20254179-7D28-4675-A731-7DE1C3B95C06}" name="Percent" dataCellStyle="Percent">
      <calculatedColumnFormula>Plan_Data[[#This Row],[Plan Budget]]/$D$2</calculatedColumnFormula>
    </tableColumn>
    <tableColumn id="7" xr3:uid="{C6E5F24C-EE5B-4005-9584-E233910CAD27}" name="Balance" dataDxfId="387" dataCellStyle="Currency">
      <calculatedColumnFormula>IFERROR(IF(Plan_Data[[#This Row],[Category]]="Income", Plan_Data[[#This Row],[Plan Income]], OFFSET(Plan_Data[[#This Row],[Balance]],-1,0)+Plan_Data[[#This Row],[Plan Income]]-Plan_Data[[#This Row],[Plan Budget]]), Plan_Data[[#This Row],[Plan Income]])</calculatedColumnFormula>
    </tableColum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8F38053-C34F-4BA0-BA25-8A9FA4F8BD73}" name="CategoryTable" displayName="CategoryTable" ref="A2:B17" totalsRowShown="0" dataDxfId="375" tableBorderDxfId="374">
  <autoFilter ref="A2:B17" xr:uid="{A1F68F82-F666-4D28-B582-F352365F2EED}"/>
  <sortState xmlns:xlrd2="http://schemas.microsoft.com/office/spreadsheetml/2017/richdata2" ref="A3:B17">
    <sortCondition ref="A2:A17"/>
  </sortState>
  <tableColumns count="2">
    <tableColumn id="1" xr3:uid="{AE8B5D08-FB33-473D-A1B5-8FF07AB39CCC}" name="Order" dataDxfId="373"/>
    <tableColumn id="2" xr3:uid="{C31F9A76-FD5B-4B84-85B0-836298A5E7FB}" name="Category" dataDxfId="372"/>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497656-E51A-4A39-A246-FE95C9AD37A8}" name="SubCategory" displayName="SubCategory" ref="D2:R12" totalsRowShown="0" headerRowDxfId="371" dataDxfId="370" tableBorderDxfId="369">
  <autoFilter ref="D2:R12" xr:uid="{B76797C3-02B3-46F6-A1E2-AD3779541DB8}"/>
  <tableColumns count="15">
    <tableColumn id="1" xr3:uid="{DB480610-ED79-415F-90C1-D7F409CD4864}" name="Housing" dataDxfId="368"/>
    <tableColumn id="2" xr3:uid="{0D3DD510-E8BE-4E96-A2F4-B6AFDCCA4F99}" name="Entertainment" dataDxfId="367"/>
    <tableColumn id="3" xr3:uid="{AF2E8B59-B6A4-4BDF-A663-817A632D895B}" name="Transportation" dataDxfId="366"/>
    <tableColumn id="4" xr3:uid="{69B15478-3D7F-4549-AD65-C11F1FF91956}" name="Loans" dataDxfId="365"/>
    <tableColumn id="5" xr3:uid="{89F3CFA6-CC06-4C2F-BF95-8D99E268A8A0}" name="Insurance" dataDxfId="364"/>
    <tableColumn id="6" xr3:uid="{49843915-1EB0-48C2-AC90-06E2513B3672}" name="Taxes" dataDxfId="363"/>
    <tableColumn id="7" xr3:uid="{9FAC1C0F-DB52-4187-BAD4-D322B7F7C82B}" name="Food" dataDxfId="362"/>
    <tableColumn id="8" xr3:uid="{5A54D506-B385-4CF1-A35A-885E2207C916}" name="Savings or Investments" dataDxfId="361"/>
    <tableColumn id="9" xr3:uid="{CABA0D14-3909-4154-87FC-226AB6136D36}" name="Pets" dataDxfId="360"/>
    <tableColumn id="10" xr3:uid="{659C34F3-4454-4DC7-9239-00E8C506018B}" name="Gifts and Donations" dataDxfId="359"/>
    <tableColumn id="11" xr3:uid="{EBA21B6B-E0A2-4135-AF6E-29FA07F6BC60}" name="Personal Care" dataDxfId="358"/>
    <tableColumn id="12" xr3:uid="{FB0E1177-3C8E-4EBE-A6F4-31E7718667D9}" name="Legal" dataDxfId="357"/>
    <tableColumn id="13" xr3:uid="{795B15A0-323B-45E4-B76D-C25EB7E3FA64}" name="Shopping" dataDxfId="356"/>
    <tableColumn id="14" xr3:uid="{C67DFB6D-B85E-4322-900D-5C2790AA8250}" name="Income" dataDxfId="355"/>
    <tableColumn id="15" xr3:uid="{DC2A88EA-C4E8-4FD0-AB4A-9855EEE2A696}" name="Other" dataDxfId="354"/>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EEEBA24-7921-4D9E-A284-6CB4FD33359B}" name="Year" displayName="Year" ref="T1:T3" totalsRowShown="0">
  <autoFilter ref="T1:T3" xr:uid="{C664781F-9089-4AC6-A3CF-46763B7B4A0A}"/>
  <tableColumns count="1">
    <tableColumn id="1" xr3:uid="{D4F44B50-23A2-4B60-9D91-5787A341F461}" name="Year"/>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49D6DEA-6E66-4B97-BCA0-334154538952}" name="Month" displayName="Month" ref="V1:W13" totalsRowShown="0">
  <autoFilter ref="V1:W13" xr:uid="{DFE4B096-D5DB-4806-9DBA-7E630C3FDF0A}"/>
  <tableColumns count="2">
    <tableColumn id="3" xr3:uid="{E1BD5B57-4C5D-48BA-99DB-27FEB82FA179}" name="Order" dataDxfId="353"/>
    <tableColumn id="1" xr3:uid="{549021D5-0FA5-4EA9-90AA-07D66362199E}" name="Month"/>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6" dT="2021-04-06T19:42:34.48" personId="{00000000-0000-0000-0000-000000000000}" id="{83D993FC-6C7A-424B-B43A-515FA469A8E9}">
    <text>65 (gas), 500 (Rav4 deposit)</text>
  </threadedComment>
  <threadedComment ref="E51" dT="2021-04-06T19:42:07.05" personId="{00000000-0000-0000-0000-000000000000}" id="{0FB2D435-8E36-47B9-BCE9-E18468A7E702}">
    <text>5000 (down payment) + 930 (insurance 6 months) +65 (gas)</text>
  </threadedComment>
  <threadedComment ref="E66" dT="2021-04-06T19:47:58.06" personId="{00000000-0000-0000-0000-000000000000}" id="{59AA6DB9-FFB5-43A9-B4DF-0E7714DFB3C8}">
    <text>=420 (car payment), 65 (gas)</text>
  </threadedComment>
  <threadedComment ref="E81" dT="2021-04-06T19:47:58.06" personId="{00000000-0000-0000-0000-000000000000}" id="{0FBCD017-6B52-44E9-9B8E-33E19EA0E960}">
    <text>=420 (car payment), 65 (gas)</text>
  </threadedComment>
  <threadedComment ref="E96" dT="2021-04-06T19:47:58.06" personId="{00000000-0000-0000-0000-000000000000}" id="{8EB89FB8-7C94-4309-82E9-A15AEF53EE30}">
    <text>=420 (car payment), 65 (gas)</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1-02-10T21:14:16.33" personId="{00000000-0000-0000-0000-000000000000}" id="{6E1CB9A5-1CFC-4697-8B8F-8E851AFC4078}">
    <text>Medicare Tax</text>
  </threadedComment>
  <threadedComment ref="B7" dT="2021-02-10T21:14:35.95" personId="{00000000-0000-0000-0000-000000000000}" id="{52B27E79-40CC-4D0C-BCF5-E544B82C9AFB}">
    <text>Social Security Tax</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1.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4.bin"/><Relationship Id="rId5" Type="http://schemas.openxmlformats.org/officeDocument/2006/relationships/table" Target="../tables/table6.xml"/><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A65C-08CD-4383-B9A6-D6F75BE31227}">
  <sheetPr codeName="Sheet1">
    <pageSetUpPr fitToPage="1"/>
  </sheetPr>
  <dimension ref="A1:W37"/>
  <sheetViews>
    <sheetView showGridLines="0" tabSelected="1" zoomScaleNormal="100" workbookViewId="0">
      <selection activeCell="S15" sqref="S15"/>
    </sheetView>
  </sheetViews>
  <sheetFormatPr defaultRowHeight="12.75" x14ac:dyDescent="0.2"/>
  <cols>
    <col min="3" max="3" width="0.7109375" customWidth="1"/>
    <col min="4" max="4" width="21.28515625" bestFit="1" customWidth="1"/>
    <col min="5" max="5" width="16.7109375" customWidth="1"/>
    <col min="6" max="6" width="18.85546875" bestFit="1" customWidth="1"/>
    <col min="7" max="7" width="14" bestFit="1" customWidth="1"/>
    <col min="8" max="8" width="10.7109375" bestFit="1" customWidth="1"/>
    <col min="9" max="9" width="13.85546875" customWidth="1"/>
    <col min="10" max="10" width="15.5703125" bestFit="1" customWidth="1"/>
    <col min="11" max="11" width="16.42578125" bestFit="1" customWidth="1"/>
    <col min="12" max="12" width="15.85546875" customWidth="1"/>
    <col min="13" max="13" width="3.85546875" customWidth="1"/>
    <col min="14" max="14" width="20.140625" bestFit="1" customWidth="1"/>
    <col min="15" max="15" width="16.42578125" bestFit="1" customWidth="1"/>
    <col min="16" max="16" width="22.42578125" customWidth="1"/>
    <col min="17" max="17" width="13.85546875" customWidth="1"/>
  </cols>
  <sheetData>
    <row r="1" spans="1:23" ht="18.75" x14ac:dyDescent="0.3">
      <c r="A1" s="74" t="s">
        <v>483</v>
      </c>
      <c r="B1" s="74"/>
      <c r="C1" s="74"/>
      <c r="D1" s="74"/>
      <c r="E1" s="74"/>
      <c r="F1" s="77" t="s">
        <v>490</v>
      </c>
      <c r="G1" s="78" t="s">
        <v>277</v>
      </c>
      <c r="H1" s="78"/>
      <c r="I1" s="79"/>
      <c r="J1" s="79" t="s">
        <v>105</v>
      </c>
      <c r="K1" s="78" t="s">
        <v>106</v>
      </c>
      <c r="L1" s="78"/>
      <c r="M1" s="79"/>
      <c r="N1" s="79" t="s">
        <v>111</v>
      </c>
      <c r="O1" s="78" t="s">
        <v>112</v>
      </c>
      <c r="P1" s="78"/>
    </row>
    <row r="2" spans="1:23" s="24" customFormat="1" ht="24.6" customHeight="1" x14ac:dyDescent="0.35">
      <c r="A2" s="74"/>
      <c r="B2" s="74"/>
      <c r="C2" s="74"/>
      <c r="D2" s="74"/>
      <c r="E2" s="74"/>
      <c r="F2" s="33">
        <f>GETPIVOTDATA("[Measures].[Sum of Actual Income]",IncomevSaving!$A$5)</f>
        <v>4864.95</v>
      </c>
      <c r="G2" s="34">
        <f>GETPIVOTDATA("[Measures].[Sum of Saving/Investment]",IncomevSaving!$A$5)</f>
        <v>2700</v>
      </c>
      <c r="H2" s="76">
        <f>IFERROR(G2/F2, "")</f>
        <v>0.55499028766996583</v>
      </c>
      <c r="I2" s="76"/>
      <c r="J2" s="33">
        <f>IFERROR(GETPIVOTDATA("[Measures].[Sum of Actual Expense]",'Report Actual Pivot'!$A$4),"")</f>
        <v>11350.637499999999</v>
      </c>
      <c r="K2" s="34">
        <f>IFERROR(SUM(E19:E32)-J2,"")</f>
        <v>-1245.6374999999989</v>
      </c>
      <c r="L2" s="28" t="str">
        <f>IFERROR(IF(K2&lt;0,"▲","▼")&amp;TEXT(K2/SUM(E18:E32),"0%;(0%)"), "")</f>
        <v>▲(9%)</v>
      </c>
      <c r="M2" s="80"/>
      <c r="N2" s="33">
        <f>IFERROR(GETPIVOTDATA("[Measures].[Sum of Actual Expense]",'PlanvActual by Year Pivot'!$A$3),"")</f>
        <v>61934.967499999941</v>
      </c>
      <c r="O2" s="34">
        <f>IFERROR(GETPIVOTDATA("[Measures].[Sum of Plan Budget]",'PlanvActual by Year Pivot'!$A$3)-GETPIVOTDATA("[Measures].[Sum of Actual Expense]",'PlanvActual by Year Pivot'!$A$3),"")</f>
        <v>-18344.967499999941</v>
      </c>
      <c r="P2" s="28" t="str">
        <f>IFERROR(IF(O2&lt;0,"▲","▼")&amp;TEXT(O2/GETPIVOTDATA("[Measures].[Sum of Plan Budget]",'PlanvActual by Year Pivot'!$A$3),"0%;(0%)"), "")</f>
        <v>▲(42%)</v>
      </c>
      <c r="Q2" s="67"/>
      <c r="R2"/>
      <c r="S2"/>
      <c r="T2"/>
      <c r="U2"/>
      <c r="V2"/>
      <c r="W2"/>
    </row>
    <row r="3" spans="1:23" ht="1.1499999999999999" customHeight="1" x14ac:dyDescent="0.2"/>
    <row r="15" spans="1:23" ht="44.45" customHeight="1" x14ac:dyDescent="0.2"/>
    <row r="16" spans="1:23" ht="31.5" customHeight="1" thickBot="1" x14ac:dyDescent="0.25"/>
    <row r="17" spans="4:17" ht="18" customHeight="1" thickBot="1" x14ac:dyDescent="0.35">
      <c r="D17" s="40" t="s">
        <v>58</v>
      </c>
      <c r="E17" s="41" t="s">
        <v>101</v>
      </c>
      <c r="F17" s="42" t="s">
        <v>389</v>
      </c>
      <c r="K17" s="4"/>
      <c r="L17" s="4"/>
      <c r="M17" s="4"/>
      <c r="N17" s="4"/>
      <c r="O17" s="4"/>
      <c r="P17" s="4"/>
      <c r="Q17" s="4"/>
    </row>
    <row r="18" spans="4:17" ht="18" customHeight="1" thickTop="1" x14ac:dyDescent="0.25">
      <c r="D18" s="27" t="str">
        <f>UniqueLists!B3</f>
        <v>Income</v>
      </c>
      <c r="E18" s="35">
        <f>IFERROR(GETPIVOTDATA("[Measures].[Sum of Plan Income]",'Report Plan Pivot'!$A$4,"Category",D18),"")</f>
        <v>3565.6800000000003</v>
      </c>
      <c r="F18" s="38">
        <f>IFERROR(GETPIVOTDATA("[Measures].[Sum of Actual Income]",'Report Actual Pivot'!$A$4,"Category",D18),"")</f>
        <v>4864.95</v>
      </c>
    </row>
    <row r="19" spans="4:17" ht="18" customHeight="1" x14ac:dyDescent="0.25">
      <c r="D19" s="25" t="str">
        <f>UniqueLists!B4</f>
        <v>Housing</v>
      </c>
      <c r="E19" s="36">
        <f>IFERROR(GETPIVOTDATA("[Measures].[Sum of Plan Budget]",'Report Plan Pivot'!$A$4,"Category",D19),"")</f>
        <v>700</v>
      </c>
      <c r="F19" s="39">
        <f>IFERROR(GETPIVOTDATA("[Measures].[Sum of Actual Expense]",'Report Actual Pivot'!$A$4,"Category",D19),"")</f>
        <v>1092.01</v>
      </c>
    </row>
    <row r="20" spans="4:17" ht="18" customHeight="1" x14ac:dyDescent="0.25">
      <c r="D20" s="25" t="str">
        <f>UniqueLists!B5</f>
        <v>Savings or Investments</v>
      </c>
      <c r="E20" s="36">
        <f>IFERROR(GETPIVOTDATA("[Measures].[Sum of Plan Budget]",'Report Plan Pivot'!$A$4,"Category",D20),"")</f>
        <v>2200</v>
      </c>
      <c r="F20" s="39">
        <f>IFERROR(GETPIVOTDATA("[Measures].[Sum of Actual Expense]",'Report Actual Pivot'!$A$4,"Category",D20),"")</f>
        <v>2700</v>
      </c>
      <c r="G20" s="22"/>
    </row>
    <row r="21" spans="4:17" ht="18" customHeight="1" x14ac:dyDescent="0.25">
      <c r="D21" s="25" t="str">
        <f>UniqueLists!B6</f>
        <v>Food</v>
      </c>
      <c r="E21" s="36">
        <f>IFERROR(GETPIVOTDATA("[Measures].[Sum of Plan Budget]",'Report Plan Pivot'!$A$4,"Category",D21),"")</f>
        <v>200</v>
      </c>
      <c r="F21" s="39">
        <f>IFERROR(GETPIVOTDATA("[Measures].[Sum of Actual Expense]",'Report Actual Pivot'!$A$4,"Category",D21),"")</f>
        <v>484.55749999999995</v>
      </c>
      <c r="G21" s="22"/>
    </row>
    <row r="22" spans="4:17" ht="18" customHeight="1" x14ac:dyDescent="0.25">
      <c r="D22" s="25" t="str">
        <f>UniqueLists!B7</f>
        <v>Transportation</v>
      </c>
      <c r="E22" s="36">
        <f>IFERROR(GETPIVOTDATA("[Measures].[Sum of Plan Budget]",'Report Plan Pivot'!$A$4,"Category",D22),"")</f>
        <v>5995</v>
      </c>
      <c r="F22" s="39">
        <f>IFERROR(GETPIVOTDATA("[Measures].[Sum of Actual Expense]",'Report Actual Pivot'!$A$4,"Category",D22),"")</f>
        <v>6178.89</v>
      </c>
      <c r="G22" s="22"/>
    </row>
    <row r="23" spans="4:17" ht="18" customHeight="1" x14ac:dyDescent="0.25">
      <c r="D23" s="25" t="str">
        <f>UniqueLists!B8</f>
        <v>Personal Care</v>
      </c>
      <c r="E23" s="36">
        <f>IFERROR(GETPIVOTDATA("[Measures].[Sum of Plan Budget]",'Report Plan Pivot'!$A$4,"Category",D23),"")</f>
        <v>510</v>
      </c>
      <c r="F23" s="39">
        <f>IFERROR(GETPIVOTDATA("[Measures].[Sum of Actual Expense]",'Report Actual Pivot'!$A$4,"Category",D23),"")</f>
        <v>495</v>
      </c>
      <c r="G23" s="22"/>
    </row>
    <row r="24" spans="4:17" ht="18" customHeight="1" x14ac:dyDescent="0.25">
      <c r="D24" s="25" t="str">
        <f>UniqueLists!B9</f>
        <v>Shopping</v>
      </c>
      <c r="E24" s="36">
        <f>IFERROR(GETPIVOTDATA("[Measures].[Sum of Plan Budget]",'Report Plan Pivot'!$A$4,"Category",D24),"")</f>
        <v>300</v>
      </c>
      <c r="F24" s="39">
        <f>IFERROR(GETPIVOTDATA("[Measures].[Sum of Actual Expense]",'Report Actual Pivot'!$A$4,"Category",D24),"")</f>
        <v>56.230000000000004</v>
      </c>
      <c r="G24" s="22"/>
    </row>
    <row r="25" spans="4:17" ht="18" customHeight="1" x14ac:dyDescent="0.25">
      <c r="D25" s="25" t="str">
        <f>UniqueLists!B10</f>
        <v>Entertainment</v>
      </c>
      <c r="E25" s="36">
        <f>IFERROR(GETPIVOTDATA("[Measures].[Sum of Plan Budget]",'Report Plan Pivot'!$A$4,"Category",D25),"")</f>
        <v>200</v>
      </c>
      <c r="F25" s="39">
        <f>IFERROR(GETPIVOTDATA("[Measures].[Sum of Actual Expense]",'Report Actual Pivot'!$A$4,"Category",D25),"")</f>
        <v>324.82</v>
      </c>
      <c r="G25" s="22"/>
    </row>
    <row r="26" spans="4:17" ht="18" customHeight="1" x14ac:dyDescent="0.25">
      <c r="D26" s="25" t="str">
        <f>UniqueLists!B11</f>
        <v>Insurance</v>
      </c>
      <c r="E26" s="36">
        <f>IFERROR(GETPIVOTDATA("[Measures].[Sum of Plan Budget]",'Report Plan Pivot'!$A$4,"Category",D26),"")</f>
        <v>0</v>
      </c>
      <c r="F26" s="39" t="str">
        <f>IFERROR(GETPIVOTDATA("[Measures].[Sum of Actual Expense]",'Report Actual Pivot'!$A$4,"Category",D26),"")</f>
        <v/>
      </c>
      <c r="G26" s="22"/>
    </row>
    <row r="27" spans="4:17" ht="18" customHeight="1" x14ac:dyDescent="0.25">
      <c r="D27" s="25" t="str">
        <f>UniqueLists!B12</f>
        <v>Gifts and Donations</v>
      </c>
      <c r="E27" s="36">
        <f>IFERROR(GETPIVOTDATA("[Measures].[Sum of Plan Budget]",'Report Plan Pivot'!$A$4,"Category",D27),"")</f>
        <v>0</v>
      </c>
      <c r="F27" s="39" t="str">
        <f>IFERROR(GETPIVOTDATA("[Measures].[Sum of Actual Expense]",'Report Actual Pivot'!$A$4,"Category",D27),"")</f>
        <v/>
      </c>
      <c r="G27" s="22"/>
    </row>
    <row r="28" spans="4:17" ht="18" customHeight="1" x14ac:dyDescent="0.25">
      <c r="D28" s="25" t="str">
        <f>UniqueLists!B13</f>
        <v>Legal</v>
      </c>
      <c r="E28" s="36">
        <f>IFERROR(GETPIVOTDATA("[Measures].[Sum of Plan Budget]",'Report Plan Pivot'!$A$4,"Category",D28),"")</f>
        <v>0</v>
      </c>
      <c r="F28" s="39" t="str">
        <f>IFERROR(GETPIVOTDATA("[Measures].[Sum of Actual Expense]",'Report Actual Pivot'!$A$4,"Category",D28),"")</f>
        <v/>
      </c>
      <c r="G28" s="22"/>
    </row>
    <row r="29" spans="4:17" ht="18" customHeight="1" x14ac:dyDescent="0.25">
      <c r="D29" s="25" t="str">
        <f>UniqueLists!B14</f>
        <v>Taxes</v>
      </c>
      <c r="E29" s="36">
        <f>IFERROR(GETPIVOTDATA("[Measures].[Sum of Plan Budget]",'Report Plan Pivot'!$A$4,"Category",D29),"")</f>
        <v>0</v>
      </c>
      <c r="F29" s="39" t="str">
        <f>IFERROR(GETPIVOTDATA("[Measures].[Sum of Actual Expense]",'Report Actual Pivot'!$A$4,"Category",D29),"")</f>
        <v/>
      </c>
      <c r="G29" s="22"/>
    </row>
    <row r="30" spans="4:17" ht="18" customHeight="1" x14ac:dyDescent="0.25">
      <c r="D30" s="25" t="str">
        <f>UniqueLists!B15</f>
        <v>Pets</v>
      </c>
      <c r="E30" s="36">
        <f>IFERROR(GETPIVOTDATA("[Measures].[Sum of Plan Budget]",'Report Plan Pivot'!$A$4,"Category",D30),"")</f>
        <v>0</v>
      </c>
      <c r="F30" s="39" t="str">
        <f>IFERROR(GETPIVOTDATA("[Measures].[Sum of Actual Expense]",'Report Actual Pivot'!$A$4,"Category",D30),"")</f>
        <v/>
      </c>
      <c r="G30" s="22"/>
    </row>
    <row r="31" spans="4:17" ht="18" customHeight="1" x14ac:dyDescent="0.25">
      <c r="D31" s="25" t="str">
        <f>UniqueLists!B16</f>
        <v>Loans</v>
      </c>
      <c r="E31" s="36">
        <f>IFERROR(GETPIVOTDATA("[Measures].[Sum of Plan Budget]",'Report Plan Pivot'!$A$4,"Category",D31),"")</f>
        <v>0</v>
      </c>
      <c r="F31" s="39" t="str">
        <f>IFERROR(GETPIVOTDATA("[Measures].[Sum of Actual Expense]",'Report Actual Pivot'!$A$4,"Category",D31),"")</f>
        <v/>
      </c>
      <c r="G31" s="22"/>
    </row>
    <row r="32" spans="4:17" ht="18" customHeight="1" thickBot="1" x14ac:dyDescent="0.3">
      <c r="D32" s="26" t="str">
        <f>UniqueLists!B17</f>
        <v>Other</v>
      </c>
      <c r="E32" s="37">
        <f>IFERROR(GETPIVOTDATA("[Measures].[Sum of Plan Budget]",'Report Plan Pivot'!$A$4,"Category",D32),"")</f>
        <v>0</v>
      </c>
      <c r="F32" s="39">
        <f>IFERROR(GETPIVOTDATA("[Measures].[Sum of Actual Expense]",'Report Actual Pivot'!$A$4,"Category",D32),"")</f>
        <v>19.130000000000003</v>
      </c>
      <c r="G32" s="22"/>
    </row>
    <row r="33" spans="5:7" ht="15" x14ac:dyDescent="0.25">
      <c r="G33" s="22"/>
    </row>
    <row r="34" spans="5:7" ht="15" x14ac:dyDescent="0.25">
      <c r="E34" s="66"/>
      <c r="F34" s="66"/>
      <c r="G34" s="22"/>
    </row>
    <row r="37" spans="5:7" x14ac:dyDescent="0.2">
      <c r="F37" s="73"/>
    </row>
  </sheetData>
  <sheetProtection selectLockedCells="1" sort="0" autoFilter="0" pivotTables="0"/>
  <mergeCells count="4">
    <mergeCell ref="A1:E2"/>
    <mergeCell ref="K1:L1"/>
    <mergeCell ref="O1:P1"/>
    <mergeCell ref="G1:H1"/>
  </mergeCells>
  <conditionalFormatting sqref="G20:G34 F18:F32">
    <cfRule type="dataBar" priority="26">
      <dataBar>
        <cfvo type="min"/>
        <cfvo type="max"/>
        <color rgb="FFFFC000"/>
      </dataBar>
      <extLst>
        <ext xmlns:x14="http://schemas.microsoft.com/office/spreadsheetml/2009/9/main" uri="{B025F937-C7B1-47D3-B67F-A62EFF666E3E}">
          <x14:id>{4244E8F3-7196-4DB5-81CE-845662BA6614}</x14:id>
        </ext>
      </extLst>
    </cfRule>
  </conditionalFormatting>
  <conditionalFormatting sqref="E18:E32">
    <cfRule type="dataBar" priority="35">
      <dataBar>
        <cfvo type="min"/>
        <cfvo type="max"/>
        <color theme="5"/>
      </dataBar>
      <extLst>
        <ext xmlns:x14="http://schemas.microsoft.com/office/spreadsheetml/2009/9/main" uri="{B025F937-C7B1-47D3-B67F-A62EFF666E3E}">
          <x14:id>{FF6D5924-5628-4ACC-8D2F-77245AE6753E}</x14:id>
        </ext>
      </extLst>
    </cfRule>
  </conditionalFormatting>
  <conditionalFormatting sqref="D46:D54">
    <cfRule type="expression" dxfId="344" priority="37">
      <formula>$A17="(blank)"</formula>
    </cfRule>
  </conditionalFormatting>
  <conditionalFormatting sqref="L2">
    <cfRule type="expression" dxfId="343" priority="5">
      <formula>$K$2&gt;0</formula>
    </cfRule>
    <cfRule type="expression" dxfId="342" priority="6">
      <formula>$K$2&lt;0</formula>
    </cfRule>
  </conditionalFormatting>
  <conditionalFormatting sqref="P2">
    <cfRule type="expression" dxfId="341" priority="3">
      <formula>$O$2&gt;0</formula>
    </cfRule>
    <cfRule type="expression" dxfId="340" priority="4">
      <formula>$O$2&lt;0</formula>
    </cfRule>
  </conditionalFormatting>
  <conditionalFormatting sqref="D35:D45">
    <cfRule type="expression" dxfId="339" priority="39">
      <formula>$A5="(blank)"</formula>
    </cfRule>
  </conditionalFormatting>
  <pageMargins left="0.25" right="0.25" top="0.75" bottom="0.75" header="0.3" footer="0.3"/>
  <pageSetup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4244E8F3-7196-4DB5-81CE-845662BA6614}">
            <x14:dataBar minLength="0" maxLength="100" gradient="0">
              <x14:cfvo type="autoMin"/>
              <x14:cfvo type="autoMax"/>
              <x14:negativeFillColor rgb="FFFF0000"/>
              <x14:axisColor rgb="FF000000"/>
            </x14:dataBar>
          </x14:cfRule>
          <xm:sqref>G20:G34 F18:F32</xm:sqref>
        </x14:conditionalFormatting>
        <x14:conditionalFormatting xmlns:xm="http://schemas.microsoft.com/office/excel/2006/main">
          <x14:cfRule type="dataBar" id="{FF6D5924-5628-4ACC-8D2F-77245AE6753E}">
            <x14:dataBar minLength="0" maxLength="100" gradient="0">
              <x14:cfvo type="autoMin"/>
              <x14:cfvo type="autoMax"/>
              <x14:negativeFillColor rgb="FFFF0000"/>
              <x14:axisColor rgb="FF000000"/>
            </x14:dataBar>
          </x14:cfRule>
          <xm:sqref>E18:E32</xm:sqref>
        </x14:conditionalFormatting>
      </x14:conditionalFormatting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2994-7B1F-484E-A727-FFD0F567BB3A}">
  <sheetPr codeName="Sheet9"/>
  <dimension ref="A3:C15"/>
  <sheetViews>
    <sheetView showGridLines="0" workbookViewId="0">
      <selection activeCell="C3" sqref="C3"/>
    </sheetView>
  </sheetViews>
  <sheetFormatPr defaultRowHeight="12.75" x14ac:dyDescent="0.2"/>
  <cols>
    <col min="1" max="1" width="10.28515625" bestFit="1" customWidth="1"/>
    <col min="2" max="2" width="16.28515625" bestFit="1" customWidth="1"/>
    <col min="3" max="3" width="18.85546875" bestFit="1" customWidth="1"/>
    <col min="4" max="4" width="4.28515625" bestFit="1" customWidth="1"/>
    <col min="5" max="5" width="3.7109375" bestFit="1" customWidth="1"/>
    <col min="6" max="6" width="4.42578125" bestFit="1" customWidth="1"/>
    <col min="7" max="7" width="3.7109375" bestFit="1" customWidth="1"/>
    <col min="8" max="8" width="3.140625" bestFit="1" customWidth="1"/>
    <col min="9" max="9" width="4" bestFit="1" customWidth="1"/>
    <col min="10" max="10" width="3.85546875" bestFit="1" customWidth="1"/>
    <col min="11" max="11" width="3.7109375" bestFit="1" customWidth="1"/>
    <col min="12" max="12" width="4.140625" bestFit="1" customWidth="1"/>
    <col min="13" max="13" width="4" bestFit="1" customWidth="1"/>
    <col min="14" max="14" width="6.28515625" bestFit="1" customWidth="1"/>
    <col min="15" max="15" width="5.7109375" bestFit="1" customWidth="1"/>
    <col min="16" max="16" width="10.140625" bestFit="1" customWidth="1"/>
  </cols>
  <sheetData>
    <row r="3" spans="1:3" x14ac:dyDescent="0.2">
      <c r="A3" s="4" t="s">
        <v>58</v>
      </c>
      <c r="B3" t="s">
        <v>102</v>
      </c>
      <c r="C3" t="s">
        <v>487</v>
      </c>
    </row>
    <row r="4" spans="1:3" x14ac:dyDescent="0.2">
      <c r="A4" s="6">
        <v>2021</v>
      </c>
      <c r="B4" s="29"/>
      <c r="C4" s="29"/>
    </row>
    <row r="5" spans="1:3" x14ac:dyDescent="0.2">
      <c r="A5" s="7" t="s">
        <v>115</v>
      </c>
      <c r="B5" s="29">
        <v>3170</v>
      </c>
      <c r="C5" s="29">
        <v>8626.619999999999</v>
      </c>
    </row>
    <row r="6" spans="1:3" x14ac:dyDescent="0.2">
      <c r="A6" s="7" t="s">
        <v>110</v>
      </c>
      <c r="B6" s="29">
        <v>3460</v>
      </c>
      <c r="C6" s="29">
        <v>3463.1900000000005</v>
      </c>
    </row>
    <row r="7" spans="1:3" x14ac:dyDescent="0.2">
      <c r="A7" s="7" t="s">
        <v>116</v>
      </c>
      <c r="B7" s="29">
        <v>3975</v>
      </c>
      <c r="C7" s="29">
        <v>6872.7100000000009</v>
      </c>
    </row>
    <row r="8" spans="1:3" x14ac:dyDescent="0.2">
      <c r="A8" s="7" t="s">
        <v>117</v>
      </c>
      <c r="B8" s="29">
        <v>10105</v>
      </c>
      <c r="C8" s="29">
        <v>11350.637499999999</v>
      </c>
    </row>
    <row r="9" spans="1:3" x14ac:dyDescent="0.2">
      <c r="A9" s="7" t="s">
        <v>118</v>
      </c>
      <c r="B9" s="29">
        <v>3500</v>
      </c>
      <c r="C9" s="29">
        <v>6427.2699999999995</v>
      </c>
    </row>
    <row r="10" spans="1:3" x14ac:dyDescent="0.2">
      <c r="A10" s="7" t="s">
        <v>119</v>
      </c>
      <c r="B10" s="29">
        <v>3500</v>
      </c>
      <c r="C10" s="29">
        <v>6035.8600000000015</v>
      </c>
    </row>
    <row r="11" spans="1:3" x14ac:dyDescent="0.2">
      <c r="A11" s="7" t="s">
        <v>120</v>
      </c>
      <c r="B11" s="29">
        <v>3560</v>
      </c>
      <c r="C11" s="29">
        <v>12686.699999999999</v>
      </c>
    </row>
    <row r="12" spans="1:3" x14ac:dyDescent="0.2">
      <c r="A12" s="7" t="s">
        <v>121</v>
      </c>
      <c r="B12" s="29">
        <v>3740</v>
      </c>
      <c r="C12" s="29">
        <v>5723.2000000000016</v>
      </c>
    </row>
    <row r="13" spans="1:3" x14ac:dyDescent="0.2">
      <c r="A13" s="7" t="s">
        <v>122</v>
      </c>
      <c r="B13" s="29">
        <v>3740</v>
      </c>
      <c r="C13" s="29">
        <v>748.78</v>
      </c>
    </row>
    <row r="14" spans="1:3" x14ac:dyDescent="0.2">
      <c r="A14" s="7" t="s">
        <v>123</v>
      </c>
      <c r="B14" s="29">
        <v>4840</v>
      </c>
      <c r="C14" s="29"/>
    </row>
    <row r="15" spans="1:3" x14ac:dyDescent="0.2">
      <c r="A15" s="6" t="s">
        <v>79</v>
      </c>
      <c r="B15" s="29">
        <v>43590</v>
      </c>
      <c r="C15" s="29">
        <v>61934.967499999941</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60AE8-6617-4889-9216-F2B10C4E6309}">
  <sheetPr codeName="Sheet10"/>
  <dimension ref="A1:C12"/>
  <sheetViews>
    <sheetView showGridLines="0" workbookViewId="0">
      <selection activeCell="I38" sqref="I38"/>
    </sheetView>
  </sheetViews>
  <sheetFormatPr defaultRowHeight="12.75" x14ac:dyDescent="0.2"/>
  <cols>
    <col min="1" max="1" width="19.28515625" bestFit="1" customWidth="1"/>
    <col min="2" max="2" width="16.28515625" bestFit="1" customWidth="1"/>
    <col min="3" max="3" width="14.140625" bestFit="1" customWidth="1"/>
  </cols>
  <sheetData>
    <row r="1" spans="1:3" x14ac:dyDescent="0.2">
      <c r="A1" s="4" t="s">
        <v>92</v>
      </c>
      <c r="B1" t="s" vm="1">
        <v>84</v>
      </c>
    </row>
    <row r="2" spans="1:3" x14ac:dyDescent="0.2">
      <c r="A2" s="4" t="s">
        <v>93</v>
      </c>
      <c r="B2" t="s" vm="2">
        <v>117</v>
      </c>
    </row>
    <row r="4" spans="1:3" x14ac:dyDescent="0.2">
      <c r="A4" s="4" t="s">
        <v>58</v>
      </c>
      <c r="B4" t="s">
        <v>102</v>
      </c>
      <c r="C4" t="s">
        <v>126</v>
      </c>
    </row>
    <row r="5" spans="1:3" x14ac:dyDescent="0.2">
      <c r="A5" s="6" t="s">
        <v>42</v>
      </c>
      <c r="B5" s="32">
        <v>700</v>
      </c>
      <c r="C5" s="65">
        <v>6.9272637308263232E-2</v>
      </c>
    </row>
    <row r="6" spans="1:3" x14ac:dyDescent="0.2">
      <c r="A6" s="6" t="s">
        <v>48</v>
      </c>
      <c r="B6" s="32">
        <v>2200</v>
      </c>
      <c r="C6" s="65">
        <v>0.21771400296882731</v>
      </c>
    </row>
    <row r="7" spans="1:3" x14ac:dyDescent="0.2">
      <c r="A7" s="6" t="s">
        <v>31</v>
      </c>
      <c r="B7" s="32">
        <v>200</v>
      </c>
      <c r="C7" s="65">
        <v>1.9792182088075209E-2</v>
      </c>
    </row>
    <row r="8" spans="1:3" x14ac:dyDescent="0.2">
      <c r="A8" s="6" t="s">
        <v>44</v>
      </c>
      <c r="B8" s="32">
        <v>5995</v>
      </c>
      <c r="C8" s="65">
        <v>0.59327065809005441</v>
      </c>
    </row>
    <row r="9" spans="1:3" x14ac:dyDescent="0.2">
      <c r="A9" s="6" t="s">
        <v>51</v>
      </c>
      <c r="B9" s="32">
        <v>510</v>
      </c>
      <c r="C9" s="65">
        <v>5.0470064324591786E-2</v>
      </c>
    </row>
    <row r="10" spans="1:3" x14ac:dyDescent="0.2">
      <c r="A10" s="6" t="s">
        <v>53</v>
      </c>
      <c r="B10" s="32">
        <v>300</v>
      </c>
      <c r="C10" s="65">
        <v>2.9688273132112815E-2</v>
      </c>
    </row>
    <row r="11" spans="1:3" x14ac:dyDescent="0.2">
      <c r="A11" s="6" t="s">
        <v>43</v>
      </c>
      <c r="B11" s="32">
        <v>200</v>
      </c>
      <c r="C11" s="65">
        <v>1.9792182088075209E-2</v>
      </c>
    </row>
    <row r="12" spans="1:3" x14ac:dyDescent="0.2">
      <c r="A12" s="6" t="s">
        <v>79</v>
      </c>
      <c r="B12" s="32">
        <v>10105</v>
      </c>
      <c r="C12" s="65">
        <v>1</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20FE8-1168-487A-9CD6-6055467202F6}">
  <sheetPr codeName="Sheet11"/>
  <dimension ref="A1:B13"/>
  <sheetViews>
    <sheetView showGridLines="0" workbookViewId="0">
      <selection activeCell="Q10" sqref="P10:Q11"/>
    </sheetView>
  </sheetViews>
  <sheetFormatPr defaultRowHeight="12.75" x14ac:dyDescent="0.2"/>
  <cols>
    <col min="1" max="1" width="19.28515625" bestFit="1" customWidth="1"/>
    <col min="2" max="2" width="18.85546875" bestFit="1" customWidth="1"/>
    <col min="3" max="3" width="15.7109375" bestFit="1" customWidth="1"/>
  </cols>
  <sheetData>
    <row r="1" spans="1:2" x14ac:dyDescent="0.2">
      <c r="A1" s="4" t="s">
        <v>92</v>
      </c>
      <c r="B1" t="s" vm="1">
        <v>84</v>
      </c>
    </row>
    <row r="2" spans="1:2" x14ac:dyDescent="0.2">
      <c r="A2" s="4" t="s">
        <v>93</v>
      </c>
      <c r="B2" t="s" vm="2">
        <v>117</v>
      </c>
    </row>
    <row r="4" spans="1:2" x14ac:dyDescent="0.2">
      <c r="A4" s="4" t="s">
        <v>58</v>
      </c>
      <c r="B4" t="s">
        <v>487</v>
      </c>
    </row>
    <row r="5" spans="1:2" x14ac:dyDescent="0.2">
      <c r="A5" s="6" t="s">
        <v>42</v>
      </c>
      <c r="B5" s="5">
        <v>1092.01</v>
      </c>
    </row>
    <row r="6" spans="1:2" x14ac:dyDescent="0.2">
      <c r="A6" s="6" t="s">
        <v>48</v>
      </c>
      <c r="B6" s="5">
        <v>2700</v>
      </c>
    </row>
    <row r="7" spans="1:2" x14ac:dyDescent="0.2">
      <c r="A7" s="6" t="s">
        <v>31</v>
      </c>
      <c r="B7" s="5">
        <v>484.55749999999995</v>
      </c>
    </row>
    <row r="8" spans="1:2" x14ac:dyDescent="0.2">
      <c r="A8" s="6" t="s">
        <v>44</v>
      </c>
      <c r="B8" s="5">
        <v>6178.89</v>
      </c>
    </row>
    <row r="9" spans="1:2" x14ac:dyDescent="0.2">
      <c r="A9" s="6" t="s">
        <v>51</v>
      </c>
      <c r="B9" s="5">
        <v>495</v>
      </c>
    </row>
    <row r="10" spans="1:2" x14ac:dyDescent="0.2">
      <c r="A10" s="6" t="s">
        <v>53</v>
      </c>
      <c r="B10" s="5">
        <v>56.230000000000004</v>
      </c>
    </row>
    <row r="11" spans="1:2" x14ac:dyDescent="0.2">
      <c r="A11" s="6" t="s">
        <v>43</v>
      </c>
      <c r="B11" s="5">
        <v>324.82</v>
      </c>
    </row>
    <row r="12" spans="1:2" x14ac:dyDescent="0.2">
      <c r="A12" s="6" t="s">
        <v>11</v>
      </c>
      <c r="B12" s="5">
        <v>19.130000000000003</v>
      </c>
    </row>
    <row r="13" spans="1:2" x14ac:dyDescent="0.2">
      <c r="A13" s="6" t="s">
        <v>79</v>
      </c>
      <c r="B13" s="5">
        <v>11350.637499999999</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50B1-7CE2-4E4C-868F-C0A0DA59A643}">
  <dimension ref="A2:H8"/>
  <sheetViews>
    <sheetView showGridLines="0" workbookViewId="0">
      <selection activeCell="H7" sqref="H7:H8"/>
    </sheetView>
  </sheetViews>
  <sheetFormatPr defaultRowHeight="12.75" x14ac:dyDescent="0.2"/>
  <cols>
    <col min="1" max="1" width="19.28515625" bestFit="1" customWidth="1"/>
    <col min="2" max="2" width="18.140625" bestFit="1" customWidth="1"/>
    <col min="3" max="3" width="22" bestFit="1" customWidth="1"/>
    <col min="4" max="4" width="10" bestFit="1" customWidth="1"/>
    <col min="5" max="5" width="22.5703125" bestFit="1" customWidth="1"/>
    <col min="6" max="6" width="26.42578125" bestFit="1" customWidth="1"/>
    <col min="7" max="7" width="11" bestFit="1" customWidth="1"/>
    <col min="8" max="8" width="7.5703125" customWidth="1"/>
    <col min="9" max="12" width="7" bestFit="1" customWidth="1"/>
    <col min="13" max="14" width="4" bestFit="1" customWidth="1"/>
    <col min="15" max="15" width="7" bestFit="1" customWidth="1"/>
    <col min="16" max="16" width="5" bestFit="1" customWidth="1"/>
    <col min="17" max="17" width="8" bestFit="1" customWidth="1"/>
    <col min="18" max="18" width="5" bestFit="1" customWidth="1"/>
    <col min="19" max="19" width="8" bestFit="1" customWidth="1"/>
    <col min="20" max="20" width="5" bestFit="1" customWidth="1"/>
    <col min="21" max="21" width="10" bestFit="1" customWidth="1"/>
  </cols>
  <sheetData>
    <row r="2" spans="1:8" x14ac:dyDescent="0.2">
      <c r="A2" s="4" t="s">
        <v>92</v>
      </c>
      <c r="B2" t="s" vm="1">
        <v>84</v>
      </c>
    </row>
    <row r="3" spans="1:8" x14ac:dyDescent="0.2">
      <c r="A3" s="4" t="s">
        <v>93</v>
      </c>
      <c r="B3" t="s" vm="2">
        <v>117</v>
      </c>
    </row>
    <row r="5" spans="1:8" x14ac:dyDescent="0.2">
      <c r="A5" s="4" t="s">
        <v>58</v>
      </c>
      <c r="B5" t="s">
        <v>108</v>
      </c>
      <c r="C5" t="s">
        <v>489</v>
      </c>
    </row>
    <row r="6" spans="1:8" x14ac:dyDescent="0.2">
      <c r="A6" s="6" t="s">
        <v>81</v>
      </c>
      <c r="B6" s="32">
        <v>4864.95</v>
      </c>
      <c r="C6" s="68">
        <v>0</v>
      </c>
    </row>
    <row r="7" spans="1:8" x14ac:dyDescent="0.2">
      <c r="A7" s="6" t="s">
        <v>48</v>
      </c>
      <c r="B7" s="32"/>
      <c r="C7" s="68">
        <v>2700</v>
      </c>
      <c r="F7" t="s">
        <v>48</v>
      </c>
      <c r="G7" s="73">
        <f>GETPIVOTDATA("[Measures].[Sum of Saving/Investment]",$A$5,"[Category].[Category]","[Category].[Category].&amp;[Savings or Investments]")</f>
        <v>2700</v>
      </c>
      <c r="H7" s="68"/>
    </row>
    <row r="8" spans="1:8" x14ac:dyDescent="0.2">
      <c r="A8" s="6" t="s">
        <v>79</v>
      </c>
      <c r="B8" s="32">
        <v>4864.95</v>
      </c>
      <c r="C8" s="68">
        <v>2700</v>
      </c>
      <c r="F8" s="6" t="s">
        <v>81</v>
      </c>
      <c r="G8" s="73">
        <f>GETPIVOTDATA("[Measures].[Sum of Actual Income]",$A$5,"[Category].[Category]","[Category].[Category].&amp;[Income]")</f>
        <v>4864.95</v>
      </c>
    </row>
  </sheetData>
  <conditionalFormatting sqref="A1:A7 A9:A19">
    <cfRule type="expression" dxfId="325" priority="2">
      <formula>$A1="(blank)"</formula>
    </cfRule>
  </conditionalFormatting>
  <conditionalFormatting sqref="F8">
    <cfRule type="expression" dxfId="324" priority="1">
      <formula>$A8="(blank)"</formula>
    </cfRule>
  </conditionalFormatting>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4B78-B918-4C9C-B363-75EE556A63F0}">
  <sheetPr codeName="Sheet12"/>
  <dimension ref="A1:W17"/>
  <sheetViews>
    <sheetView showGridLines="0" workbookViewId="0">
      <selection activeCell="B33" sqref="B33"/>
    </sheetView>
  </sheetViews>
  <sheetFormatPr defaultRowHeight="12.75" x14ac:dyDescent="0.2"/>
  <cols>
    <col min="1" max="1" width="7.7109375" customWidth="1"/>
    <col min="2" max="2" width="19.140625" bestFit="1" customWidth="1"/>
    <col min="4" max="4" width="20.140625" bestFit="1" customWidth="1"/>
    <col min="5" max="6" width="14.7109375" bestFit="1" customWidth="1"/>
    <col min="7" max="7" width="11.140625" bestFit="1" customWidth="1"/>
    <col min="8" max="8" width="10.7109375" bestFit="1" customWidth="1"/>
    <col min="11" max="11" width="21.42578125" bestFit="1" customWidth="1"/>
    <col min="12" max="12" width="8.7109375" bestFit="1" customWidth="1"/>
    <col min="13" max="13" width="10.28515625" customWidth="1"/>
    <col min="14" max="14" width="20.85546875" bestFit="1" customWidth="1"/>
    <col min="15" max="15" width="24.7109375" bestFit="1" customWidth="1"/>
    <col min="16" max="16" width="18.85546875" bestFit="1" customWidth="1"/>
    <col min="17" max="17" width="14.7109375" bestFit="1" customWidth="1"/>
    <col min="18" max="18" width="14.7109375" customWidth="1"/>
    <col min="22" max="22" width="5.7109375" bestFit="1" customWidth="1"/>
  </cols>
  <sheetData>
    <row r="1" spans="1:23" ht="13.5" thickBot="1" x14ac:dyDescent="0.25">
      <c r="A1" s="9" t="s">
        <v>89</v>
      </c>
      <c r="D1" s="9" t="s">
        <v>90</v>
      </c>
      <c r="T1" t="s">
        <v>92</v>
      </c>
      <c r="V1" s="30" t="s">
        <v>88</v>
      </c>
      <c r="W1" t="s">
        <v>93</v>
      </c>
    </row>
    <row r="2" spans="1:23" x14ac:dyDescent="0.2">
      <c r="A2" s="12" t="s">
        <v>88</v>
      </c>
      <c r="B2" s="11" t="s">
        <v>58</v>
      </c>
      <c r="D2" s="11" t="s">
        <v>42</v>
      </c>
      <c r="E2" s="11" t="s">
        <v>43</v>
      </c>
      <c r="F2" s="11" t="s">
        <v>44</v>
      </c>
      <c r="G2" s="11" t="s">
        <v>45</v>
      </c>
      <c r="H2" s="11" t="s">
        <v>18</v>
      </c>
      <c r="I2" s="11" t="s">
        <v>46</v>
      </c>
      <c r="J2" s="11" t="s">
        <v>31</v>
      </c>
      <c r="K2" s="11" t="s">
        <v>48</v>
      </c>
      <c r="L2" s="11" t="s">
        <v>47</v>
      </c>
      <c r="M2" s="11" t="s">
        <v>49</v>
      </c>
      <c r="N2" s="11" t="s">
        <v>51</v>
      </c>
      <c r="O2" s="11" t="s">
        <v>50</v>
      </c>
      <c r="P2" s="15" t="s">
        <v>53</v>
      </c>
      <c r="Q2" s="15" t="s">
        <v>81</v>
      </c>
      <c r="R2" s="15" t="s">
        <v>11</v>
      </c>
      <c r="T2">
        <v>2020</v>
      </c>
      <c r="V2" s="31">
        <v>1</v>
      </c>
      <c r="W2" t="s">
        <v>115</v>
      </c>
    </row>
    <row r="3" spans="1:23" x14ac:dyDescent="0.2">
      <c r="A3" s="10">
        <v>1</v>
      </c>
      <c r="B3" s="14" t="s">
        <v>81</v>
      </c>
      <c r="D3" s="10" t="s">
        <v>0</v>
      </c>
      <c r="E3" s="10" t="s">
        <v>127</v>
      </c>
      <c r="F3" s="10" t="s">
        <v>15</v>
      </c>
      <c r="G3" s="10" t="s">
        <v>14</v>
      </c>
      <c r="H3" s="10" t="s">
        <v>23</v>
      </c>
      <c r="I3" s="10" t="s">
        <v>21</v>
      </c>
      <c r="J3" s="10" t="s">
        <v>29</v>
      </c>
      <c r="K3" s="10" t="s">
        <v>27</v>
      </c>
      <c r="L3" s="10" t="s">
        <v>195</v>
      </c>
      <c r="M3" s="10" t="s">
        <v>154</v>
      </c>
      <c r="N3" s="10" t="s">
        <v>163</v>
      </c>
      <c r="O3" s="13" t="s">
        <v>113</v>
      </c>
      <c r="P3" s="13" t="s">
        <v>77</v>
      </c>
      <c r="Q3" s="13" t="s">
        <v>174</v>
      </c>
      <c r="R3" s="13" t="s">
        <v>194</v>
      </c>
      <c r="T3">
        <v>2021</v>
      </c>
      <c r="V3" s="19">
        <v>2</v>
      </c>
      <c r="W3" t="s">
        <v>110</v>
      </c>
    </row>
    <row r="4" spans="1:23" x14ac:dyDescent="0.2">
      <c r="A4" s="10">
        <v>2</v>
      </c>
      <c r="B4" s="10" t="s">
        <v>42</v>
      </c>
      <c r="D4" s="10" t="s">
        <v>1</v>
      </c>
      <c r="E4" s="10" t="s">
        <v>128</v>
      </c>
      <c r="F4" s="10" t="s">
        <v>17</v>
      </c>
      <c r="G4" s="10" t="s">
        <v>16</v>
      </c>
      <c r="H4" s="10" t="s">
        <v>25</v>
      </c>
      <c r="I4" s="10" t="s">
        <v>22</v>
      </c>
      <c r="J4" s="10" t="s">
        <v>30</v>
      </c>
      <c r="K4" s="10" t="s">
        <v>28</v>
      </c>
      <c r="L4" s="10" t="s">
        <v>32</v>
      </c>
      <c r="M4" s="10" t="s">
        <v>155</v>
      </c>
      <c r="N4" s="10" t="s">
        <v>32</v>
      </c>
      <c r="O4" s="10" t="s">
        <v>35</v>
      </c>
      <c r="P4" s="13" t="s">
        <v>80</v>
      </c>
      <c r="Q4" s="13" t="s">
        <v>175</v>
      </c>
      <c r="R4" s="13" t="s">
        <v>197</v>
      </c>
      <c r="V4" s="31">
        <v>3</v>
      </c>
      <c r="W4" t="s">
        <v>116</v>
      </c>
    </row>
    <row r="5" spans="1:23" x14ac:dyDescent="0.2">
      <c r="A5" s="10">
        <v>3</v>
      </c>
      <c r="B5" s="10" t="s">
        <v>48</v>
      </c>
      <c r="D5" s="10" t="s">
        <v>2</v>
      </c>
      <c r="E5" s="10" t="s">
        <v>3</v>
      </c>
      <c r="F5" s="10" t="s">
        <v>18</v>
      </c>
      <c r="G5" s="10" t="s">
        <v>85</v>
      </c>
      <c r="H5" s="10" t="s">
        <v>26</v>
      </c>
      <c r="I5" s="10" t="s">
        <v>24</v>
      </c>
      <c r="J5" s="10" t="s">
        <v>55</v>
      </c>
      <c r="K5" s="10" t="s">
        <v>70</v>
      </c>
      <c r="L5" s="10" t="s">
        <v>33</v>
      </c>
      <c r="M5" s="10" t="s">
        <v>156</v>
      </c>
      <c r="N5" s="10" t="s">
        <v>38</v>
      </c>
      <c r="O5" s="10" t="s">
        <v>36</v>
      </c>
      <c r="P5" s="13" t="s">
        <v>188</v>
      </c>
      <c r="Q5" s="13" t="s">
        <v>176</v>
      </c>
      <c r="R5" s="13" t="s">
        <v>229</v>
      </c>
      <c r="V5" s="19">
        <v>4</v>
      </c>
      <c r="W5" t="s">
        <v>117</v>
      </c>
    </row>
    <row r="6" spans="1:23" x14ac:dyDescent="0.2">
      <c r="A6" s="10">
        <v>4</v>
      </c>
      <c r="B6" s="10" t="s">
        <v>31</v>
      </c>
      <c r="D6" s="10" t="s">
        <v>4</v>
      </c>
      <c r="E6" s="10" t="s">
        <v>5</v>
      </c>
      <c r="F6" s="10" t="s">
        <v>129</v>
      </c>
      <c r="G6" s="10" t="s">
        <v>86</v>
      </c>
      <c r="H6" s="10" t="s">
        <v>11</v>
      </c>
      <c r="I6" s="10" t="s">
        <v>167</v>
      </c>
      <c r="J6" s="10" t="s">
        <v>11</v>
      </c>
      <c r="K6" s="10" t="s">
        <v>74</v>
      </c>
      <c r="L6" s="10" t="s">
        <v>34</v>
      </c>
      <c r="M6" s="10" t="s">
        <v>298</v>
      </c>
      <c r="N6" s="10" t="s">
        <v>39</v>
      </c>
      <c r="O6" s="10" t="s">
        <v>37</v>
      </c>
      <c r="P6" s="13" t="s">
        <v>259</v>
      </c>
      <c r="Q6" s="13" t="s">
        <v>178</v>
      </c>
      <c r="R6" s="13" t="s">
        <v>257</v>
      </c>
      <c r="V6" s="31">
        <v>5</v>
      </c>
      <c r="W6" t="s">
        <v>118</v>
      </c>
    </row>
    <row r="7" spans="1:23" x14ac:dyDescent="0.2">
      <c r="A7" s="10">
        <v>5</v>
      </c>
      <c r="B7" s="10" t="s">
        <v>44</v>
      </c>
      <c r="D7" s="10" t="s">
        <v>6</v>
      </c>
      <c r="E7" s="10" t="s">
        <v>7</v>
      </c>
      <c r="F7" s="10" t="s">
        <v>19</v>
      </c>
      <c r="G7" s="10" t="s">
        <v>87</v>
      </c>
      <c r="H7" s="10"/>
      <c r="I7" s="10" t="s">
        <v>11</v>
      </c>
      <c r="J7" s="10"/>
      <c r="K7" s="10" t="s">
        <v>130</v>
      </c>
      <c r="L7" s="10" t="s">
        <v>11</v>
      </c>
      <c r="M7" s="10"/>
      <c r="N7" s="10" t="s">
        <v>40</v>
      </c>
      <c r="O7" s="10" t="s">
        <v>11</v>
      </c>
      <c r="P7" s="13" t="s">
        <v>99</v>
      </c>
      <c r="Q7" s="13" t="s">
        <v>205</v>
      </c>
      <c r="R7" s="13" t="s">
        <v>372</v>
      </c>
      <c r="V7" s="19">
        <v>6</v>
      </c>
      <c r="W7" t="s">
        <v>119</v>
      </c>
    </row>
    <row r="8" spans="1:23" x14ac:dyDescent="0.2">
      <c r="A8" s="10">
        <v>6</v>
      </c>
      <c r="B8" s="10" t="s">
        <v>51</v>
      </c>
      <c r="D8" s="10" t="s">
        <v>8</v>
      </c>
      <c r="E8" s="10" t="s">
        <v>9</v>
      </c>
      <c r="F8" s="10" t="s">
        <v>20</v>
      </c>
      <c r="G8" s="10" t="s">
        <v>11</v>
      </c>
      <c r="H8" s="10"/>
      <c r="I8" s="10"/>
      <c r="J8" s="10"/>
      <c r="K8" s="10"/>
      <c r="L8" s="10"/>
      <c r="M8" s="10"/>
      <c r="N8" s="10" t="s">
        <v>41</v>
      </c>
      <c r="O8" s="10"/>
      <c r="P8" s="13" t="s">
        <v>373</v>
      </c>
      <c r="Q8" s="13" t="s">
        <v>471</v>
      </c>
      <c r="R8" s="13" t="s">
        <v>472</v>
      </c>
      <c r="V8" s="31">
        <v>7</v>
      </c>
      <c r="W8" t="s">
        <v>120</v>
      </c>
    </row>
    <row r="9" spans="1:23" x14ac:dyDescent="0.2">
      <c r="A9" s="10">
        <v>7</v>
      </c>
      <c r="B9" s="10" t="s">
        <v>53</v>
      </c>
      <c r="D9" s="10" t="s">
        <v>10</v>
      </c>
      <c r="E9" s="10" t="s">
        <v>208</v>
      </c>
      <c r="F9" s="10" t="s">
        <v>69</v>
      </c>
      <c r="G9" s="10"/>
      <c r="H9" s="10"/>
      <c r="I9" s="10"/>
      <c r="J9" s="10"/>
      <c r="K9" s="10"/>
      <c r="L9" s="10"/>
      <c r="M9" s="10"/>
      <c r="N9" s="10" t="s">
        <v>388</v>
      </c>
      <c r="O9" s="10"/>
      <c r="P9" s="13"/>
      <c r="Q9" s="13"/>
      <c r="R9" s="13"/>
      <c r="V9" s="19">
        <v>8</v>
      </c>
      <c r="W9" t="s">
        <v>121</v>
      </c>
    </row>
    <row r="10" spans="1:23" x14ac:dyDescent="0.2">
      <c r="A10" s="10">
        <v>8</v>
      </c>
      <c r="B10" s="10" t="s">
        <v>43</v>
      </c>
      <c r="D10" s="10" t="s">
        <v>12</v>
      </c>
      <c r="E10" s="10" t="s">
        <v>288</v>
      </c>
      <c r="F10" s="10" t="s">
        <v>212</v>
      </c>
      <c r="G10" s="10"/>
      <c r="H10" s="10"/>
      <c r="I10" s="10"/>
      <c r="J10" s="10"/>
      <c r="K10" s="10"/>
      <c r="L10" s="10"/>
      <c r="M10" s="10"/>
      <c r="N10" s="10"/>
      <c r="O10" s="10"/>
      <c r="P10" s="13"/>
      <c r="Q10" s="13"/>
      <c r="R10" s="13"/>
      <c r="V10" s="31">
        <v>9</v>
      </c>
      <c r="W10" t="s">
        <v>122</v>
      </c>
    </row>
    <row r="11" spans="1:23" x14ac:dyDescent="0.2">
      <c r="A11" s="10">
        <v>9</v>
      </c>
      <c r="B11" s="10" t="s">
        <v>18</v>
      </c>
      <c r="D11" s="10" t="s">
        <v>13</v>
      </c>
      <c r="E11" s="10" t="s">
        <v>386</v>
      </c>
      <c r="F11" s="10" t="s">
        <v>284</v>
      </c>
      <c r="G11" s="10"/>
      <c r="H11" s="10"/>
      <c r="I11" s="10"/>
      <c r="J11" s="10"/>
      <c r="K11" s="10"/>
      <c r="L11" s="10"/>
      <c r="M11" s="10"/>
      <c r="N11" s="10"/>
      <c r="O11" s="10"/>
      <c r="P11" s="13"/>
      <c r="Q11" s="13"/>
      <c r="R11" s="13"/>
      <c r="V11" s="19">
        <v>10</v>
      </c>
      <c r="W11" t="s">
        <v>123</v>
      </c>
    </row>
    <row r="12" spans="1:23" x14ac:dyDescent="0.2">
      <c r="A12" s="10">
        <v>10</v>
      </c>
      <c r="B12" s="10" t="s">
        <v>49</v>
      </c>
      <c r="D12" s="10" t="s">
        <v>11</v>
      </c>
      <c r="E12" s="10"/>
      <c r="F12" s="10"/>
      <c r="G12" s="10"/>
      <c r="H12" s="10"/>
      <c r="I12" s="10"/>
      <c r="J12" s="10"/>
      <c r="K12" s="10"/>
      <c r="L12" s="10"/>
      <c r="M12" s="10"/>
      <c r="N12" s="10"/>
      <c r="O12" s="10"/>
      <c r="P12" s="13"/>
      <c r="Q12" s="13"/>
      <c r="R12" s="13"/>
      <c r="V12" s="31">
        <v>11</v>
      </c>
      <c r="W12" t="s">
        <v>124</v>
      </c>
    </row>
    <row r="13" spans="1:23" x14ac:dyDescent="0.2">
      <c r="A13" s="10">
        <v>11</v>
      </c>
      <c r="B13" s="10" t="s">
        <v>50</v>
      </c>
      <c r="V13" s="19">
        <v>12</v>
      </c>
      <c r="W13" t="s">
        <v>125</v>
      </c>
    </row>
    <row r="14" spans="1:23" x14ac:dyDescent="0.2">
      <c r="A14" s="10">
        <v>12</v>
      </c>
      <c r="B14" s="10" t="s">
        <v>46</v>
      </c>
    </row>
    <row r="15" spans="1:23" x14ac:dyDescent="0.2">
      <c r="A15" s="13">
        <v>13</v>
      </c>
      <c r="B15" s="10" t="s">
        <v>47</v>
      </c>
    </row>
    <row r="16" spans="1:23" x14ac:dyDescent="0.2">
      <c r="A16" s="10">
        <v>14</v>
      </c>
      <c r="B16" s="10" t="s">
        <v>45</v>
      </c>
    </row>
    <row r="17" spans="1:2" x14ac:dyDescent="0.2">
      <c r="A17" s="13">
        <v>15</v>
      </c>
      <c r="B17" s="10" t="s">
        <v>11</v>
      </c>
    </row>
  </sheetData>
  <pageMargins left="0.7" right="0.7" top="0.75" bottom="0.75" header="0.3" footer="0.3"/>
  <pageSetup orientation="portrait" r:id="rId1"/>
  <tableParts count="4">
    <tablePart r:id="rId2"/>
    <tablePart r:id="rId3"/>
    <tablePart r:id="rId4"/>
    <tablePart r:id="rId5"/>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F064-AD40-4FCA-8CDC-C9E8BC3FC379}">
  <sheetPr codeName="Sheet13"/>
  <dimension ref="A1:F12"/>
  <sheetViews>
    <sheetView showGridLines="0" zoomScale="235" zoomScaleNormal="235" workbookViewId="0">
      <selection activeCell="B33" sqref="B33"/>
    </sheetView>
  </sheetViews>
  <sheetFormatPr defaultRowHeight="12.75" x14ac:dyDescent="0.2"/>
  <cols>
    <col min="1" max="1" width="19" bestFit="1" customWidth="1"/>
    <col min="2" max="2" width="15" bestFit="1" customWidth="1"/>
    <col min="3" max="3" width="4.85546875" customWidth="1"/>
    <col min="4" max="4" width="11" bestFit="1" customWidth="1"/>
    <col min="5" max="6" width="10" bestFit="1" customWidth="1"/>
  </cols>
  <sheetData>
    <row r="1" spans="1:6" ht="19.5" thickBot="1" x14ac:dyDescent="0.35">
      <c r="A1" s="75" t="s">
        <v>131</v>
      </c>
      <c r="B1" s="75"/>
      <c r="C1" s="75"/>
      <c r="D1" s="75"/>
      <c r="E1" s="75"/>
      <c r="F1" s="75"/>
    </row>
    <row r="2" spans="1:6" ht="13.5" thickBot="1" x14ac:dyDescent="0.25">
      <c r="A2" s="60" t="s">
        <v>144</v>
      </c>
      <c r="B2" s="61" t="s">
        <v>145</v>
      </c>
      <c r="C2" s="61" t="s">
        <v>149</v>
      </c>
      <c r="D2" s="61" t="s">
        <v>147</v>
      </c>
      <c r="E2" s="62" t="s">
        <v>132</v>
      </c>
      <c r="F2" s="63" t="s">
        <v>146</v>
      </c>
    </row>
    <row r="3" spans="1:6" ht="13.5" thickTop="1" x14ac:dyDescent="0.2">
      <c r="A3" s="47" t="s">
        <v>143</v>
      </c>
      <c r="B3" s="48" t="s">
        <v>141</v>
      </c>
      <c r="C3" s="48"/>
      <c r="D3" s="49">
        <f>E3*12</f>
        <v>69000</v>
      </c>
      <c r="E3" s="49">
        <v>5750</v>
      </c>
      <c r="F3" s="50">
        <f>E3/2</f>
        <v>2875</v>
      </c>
    </row>
    <row r="4" spans="1:6" x14ac:dyDescent="0.2">
      <c r="A4" s="47" t="s">
        <v>143</v>
      </c>
      <c r="B4" s="44" t="s">
        <v>150</v>
      </c>
      <c r="C4" s="44">
        <v>0.92307826086956513</v>
      </c>
      <c r="D4" s="45">
        <f>E4*12</f>
        <v>63692.399999999994</v>
      </c>
      <c r="E4" s="45">
        <f>E3*C4</f>
        <v>5307.7</v>
      </c>
      <c r="F4" s="46">
        <f t="shared" ref="F4:F10" si="0">E4/2</f>
        <v>2653.85</v>
      </c>
    </row>
    <row r="5" spans="1:6" x14ac:dyDescent="0.2">
      <c r="A5" s="43" t="s">
        <v>46</v>
      </c>
      <c r="B5" s="44" t="s">
        <v>134</v>
      </c>
      <c r="C5" s="44"/>
      <c r="D5" s="45">
        <f>E5*12</f>
        <v>7473.5999999999995</v>
      </c>
      <c r="E5" s="45">
        <v>622.79999999999995</v>
      </c>
      <c r="F5" s="46">
        <f t="shared" si="0"/>
        <v>311.39999999999998</v>
      </c>
    </row>
    <row r="6" spans="1:6" x14ac:dyDescent="0.2">
      <c r="A6" s="43" t="s">
        <v>46</v>
      </c>
      <c r="B6" s="44" t="s">
        <v>135</v>
      </c>
      <c r="C6" s="44"/>
      <c r="D6" s="45">
        <f t="shared" ref="D6:D9" si="1">E6*12</f>
        <v>919.68000000000006</v>
      </c>
      <c r="E6" s="45">
        <v>76.64</v>
      </c>
      <c r="F6" s="46">
        <f t="shared" si="0"/>
        <v>38.32</v>
      </c>
    </row>
    <row r="7" spans="1:6" x14ac:dyDescent="0.2">
      <c r="A7" s="43" t="s">
        <v>46</v>
      </c>
      <c r="B7" s="44" t="s">
        <v>136</v>
      </c>
      <c r="C7" s="44"/>
      <c r="D7" s="45">
        <f t="shared" si="1"/>
        <v>3932.6400000000003</v>
      </c>
      <c r="E7" s="45">
        <v>327.72</v>
      </c>
      <c r="F7" s="46">
        <f t="shared" si="0"/>
        <v>163.86</v>
      </c>
    </row>
    <row r="8" spans="1:6" x14ac:dyDescent="0.2">
      <c r="A8" s="43" t="s">
        <v>139</v>
      </c>
      <c r="B8" s="44" t="s">
        <v>137</v>
      </c>
      <c r="C8" s="44"/>
      <c r="D8" s="45">
        <f t="shared" si="1"/>
        <v>261.36</v>
      </c>
      <c r="E8" s="45">
        <v>21.78</v>
      </c>
      <c r="F8" s="46">
        <f t="shared" si="0"/>
        <v>10.89</v>
      </c>
    </row>
    <row r="9" spans="1:6" x14ac:dyDescent="0.2">
      <c r="A9" s="43" t="s">
        <v>139</v>
      </c>
      <c r="B9" s="44" t="s">
        <v>138</v>
      </c>
      <c r="C9" s="44"/>
      <c r="D9" s="45">
        <f t="shared" si="1"/>
        <v>36.96</v>
      </c>
      <c r="E9" s="45">
        <v>3.08</v>
      </c>
      <c r="F9" s="46">
        <f t="shared" si="0"/>
        <v>1.54</v>
      </c>
    </row>
    <row r="10" spans="1:6" ht="13.5" thickBot="1" x14ac:dyDescent="0.25">
      <c r="A10" s="51" t="s">
        <v>140</v>
      </c>
      <c r="B10" s="52" t="s">
        <v>133</v>
      </c>
      <c r="C10" s="52">
        <v>9.2309565217391268E-2</v>
      </c>
      <c r="D10" s="53">
        <f>E10*12</f>
        <v>6369.3599999999969</v>
      </c>
      <c r="E10" s="53">
        <f>E3*C10</f>
        <v>530.77999999999975</v>
      </c>
      <c r="F10" s="54">
        <f t="shared" si="0"/>
        <v>265.38999999999987</v>
      </c>
    </row>
    <row r="11" spans="1:6" ht="14.25" thickTop="1" thickBot="1" x14ac:dyDescent="0.25">
      <c r="A11" s="55" t="s">
        <v>142</v>
      </c>
      <c r="B11" s="56" t="s">
        <v>148</v>
      </c>
      <c r="C11" s="57"/>
      <c r="D11" s="58">
        <f>D4-SUM(D5:D10)</f>
        <v>44698.8</v>
      </c>
      <c r="E11" s="58">
        <f t="shared" ref="E11:F11" si="2">E4-SUM(E5:E10)</f>
        <v>3724.9000000000005</v>
      </c>
      <c r="F11" s="59">
        <f t="shared" si="2"/>
        <v>1862.4500000000003</v>
      </c>
    </row>
    <row r="12" spans="1:6" x14ac:dyDescent="0.2">
      <c r="B12" s="24"/>
      <c r="C12" s="24"/>
      <c r="D12" s="24"/>
    </row>
  </sheetData>
  <mergeCells count="1">
    <mergeCell ref="A1:F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46D4E-3184-4282-8EFF-5198FF2BEE7E}">
  <sheetPr codeName="Sheet2"/>
  <dimension ref="A1:K555"/>
  <sheetViews>
    <sheetView showGridLines="0" zoomScaleNormal="100" workbookViewId="0">
      <pane ySplit="1" topLeftCell="A201" activePane="bottomLeft" state="frozen"/>
      <selection activeCell="B33" sqref="B33"/>
      <selection pane="bottomLeft" activeCell="H240" sqref="H240"/>
    </sheetView>
  </sheetViews>
  <sheetFormatPr defaultRowHeight="12.75" x14ac:dyDescent="0.2"/>
  <cols>
    <col min="1" max="1" width="7.28515625" bestFit="1" customWidth="1"/>
    <col min="2" max="2" width="8.5703125" bestFit="1" customWidth="1"/>
    <col min="3" max="3" width="10.5703125" bestFit="1" customWidth="1"/>
    <col min="4" max="4" width="49.5703125" customWidth="1"/>
    <col min="5" max="5" width="19.140625" bestFit="1" customWidth="1"/>
    <col min="6" max="7" width="14.28515625" bestFit="1" customWidth="1"/>
    <col min="8" max="8" width="14.42578125" bestFit="1" customWidth="1"/>
    <col min="9" max="9" width="11.5703125" hidden="1" customWidth="1"/>
    <col min="10" max="10" width="18.140625" bestFit="1" customWidth="1"/>
    <col min="11" max="11" width="7.85546875" bestFit="1" customWidth="1"/>
    <col min="12" max="12" width="19.28515625" bestFit="1" customWidth="1"/>
    <col min="13" max="13" width="4.28515625" customWidth="1"/>
    <col min="14" max="14" width="14.42578125" customWidth="1"/>
    <col min="15" max="15" width="12.28515625" customWidth="1"/>
    <col min="16" max="16" width="12.7109375" customWidth="1"/>
    <col min="17" max="17" width="7.28515625" customWidth="1"/>
    <col min="18" max="18" width="10.5703125" customWidth="1"/>
    <col min="19" max="19" width="7.28515625" customWidth="1"/>
    <col min="21" max="22" width="13.42578125" customWidth="1"/>
    <col min="23" max="23" width="12.28515625" customWidth="1"/>
    <col min="24" max="24" width="16.140625" customWidth="1"/>
    <col min="25" max="25" width="11.140625" customWidth="1"/>
    <col min="26" max="26" width="9.7109375" bestFit="1" customWidth="1"/>
  </cols>
  <sheetData>
    <row r="1" spans="1:11" ht="16.5" thickBot="1" x14ac:dyDescent="0.3">
      <c r="A1" s="21" t="s">
        <v>92</v>
      </c>
      <c r="B1" s="8" t="s">
        <v>93</v>
      </c>
      <c r="C1" t="s">
        <v>56</v>
      </c>
      <c r="D1" t="s">
        <v>57</v>
      </c>
      <c r="E1" t="s">
        <v>58</v>
      </c>
      <c r="F1" t="s">
        <v>67</v>
      </c>
      <c r="G1" t="s">
        <v>389</v>
      </c>
      <c r="H1" t="s">
        <v>100</v>
      </c>
      <c r="I1" t="s">
        <v>82</v>
      </c>
      <c r="J1" t="s">
        <v>488</v>
      </c>
      <c r="K1" t="s">
        <v>285</v>
      </c>
    </row>
    <row r="2" spans="1:11" x14ac:dyDescent="0.2">
      <c r="A2" s="5" t="str">
        <f>TEXT(Data[[#This Row],[Date]],"yyyy")</f>
        <v>2021</v>
      </c>
      <c r="B2" s="5" t="str">
        <f>TEXT(Data[[#This Row],[Date]],"mmm")</f>
        <v>Jan</v>
      </c>
      <c r="C2" s="3">
        <v>44197</v>
      </c>
      <c r="D2" t="s">
        <v>83</v>
      </c>
      <c r="E2" t="s">
        <v>81</v>
      </c>
      <c r="F2" t="s">
        <v>174</v>
      </c>
      <c r="G2" s="1"/>
      <c r="H2">
        <v>1788.83</v>
      </c>
      <c r="I2" s="1">
        <f ca="1">IFERROR(OFFSET(Data[[#This Row],[Balance]],-1,0)+Data[[#This Row],[Actual Income]]-Data[[#This Row],[Actual Expense]], Data[[#This Row],[Actual Income]])</f>
        <v>1788.83</v>
      </c>
      <c r="J2" s="1">
        <f>IF(Data[[#This Row],[Category]]="Savings or Investments", Data[[#This Row],[Actual Expense]],0)</f>
        <v>0</v>
      </c>
      <c r="K2" s="3"/>
    </row>
    <row r="3" spans="1:11" x14ac:dyDescent="0.2">
      <c r="A3" s="5" t="str">
        <f>TEXT(Data[[#This Row],[Date]],"yyyy")</f>
        <v>2021</v>
      </c>
      <c r="B3" s="5" t="str">
        <f>TEXT(Data[[#This Row],[Date]],"mmm")</f>
        <v>Jan</v>
      </c>
      <c r="C3" s="3">
        <v>44199</v>
      </c>
      <c r="D3" t="s">
        <v>60</v>
      </c>
      <c r="E3" t="s">
        <v>31</v>
      </c>
      <c r="F3" t="s">
        <v>30</v>
      </c>
      <c r="G3" s="1">
        <v>11.45</v>
      </c>
      <c r="I3" s="1">
        <f ca="1">IFERROR(OFFSET(Data[[#This Row],[Balance]],-1,0)+Data[[#This Row],[Actual Income]]-Data[[#This Row],[Actual Expense]], Data[[#This Row],[Actual Income]])</f>
        <v>1777.3799999999999</v>
      </c>
      <c r="J3" s="1">
        <f>IF(Data[[#This Row],[Category]]="Savings or Investments", Data[[#This Row],[Actual Expense]],0)</f>
        <v>0</v>
      </c>
      <c r="K3" s="3"/>
    </row>
    <row r="4" spans="1:11" x14ac:dyDescent="0.2">
      <c r="A4" s="5" t="str">
        <f>TEXT(Data[[#This Row],[Date]],"yyyy")</f>
        <v>2021</v>
      </c>
      <c r="B4" s="5" t="str">
        <f>TEXT(Data[[#This Row],[Date]],"mmm")</f>
        <v>Jan</v>
      </c>
      <c r="C4" s="3">
        <v>44200</v>
      </c>
      <c r="D4" t="s">
        <v>54</v>
      </c>
      <c r="E4" t="s">
        <v>48</v>
      </c>
      <c r="F4" t="s">
        <v>70</v>
      </c>
      <c r="G4" s="1">
        <v>100</v>
      </c>
      <c r="I4" s="1">
        <f ca="1">IFERROR(OFFSET(Data[[#This Row],[Balance]],-1,0)+Data[[#This Row],[Actual Income]]-Data[[#This Row],[Actual Expense]], Data[[#This Row],[Actual Income]])</f>
        <v>1677.3799999999999</v>
      </c>
      <c r="J4" s="1">
        <f>IF(Data[[#This Row],[Category]]="Savings or Investments", Data[[#This Row],[Actual Expense]],0)</f>
        <v>100</v>
      </c>
    </row>
    <row r="5" spans="1:11" x14ac:dyDescent="0.2">
      <c r="A5" s="5" t="str">
        <f>TEXT(Data[[#This Row],[Date]],"yyyy")</f>
        <v>2021</v>
      </c>
      <c r="B5" s="5" t="str">
        <f>TEXT(Data[[#This Row],[Date]],"mmm")</f>
        <v>Jan</v>
      </c>
      <c r="C5" s="3">
        <v>44200</v>
      </c>
      <c r="D5" t="s">
        <v>54</v>
      </c>
      <c r="E5" t="s">
        <v>48</v>
      </c>
      <c r="F5" t="s">
        <v>70</v>
      </c>
      <c r="G5" s="1">
        <v>100</v>
      </c>
      <c r="I5" s="1">
        <f ca="1">IFERROR(OFFSET(Data[[#This Row],[Balance]],-1,0)+Data[[#This Row],[Actual Income]]-Data[[#This Row],[Actual Expense]], Data[[#This Row],[Actual Income]])</f>
        <v>1577.3799999999999</v>
      </c>
      <c r="J5" s="1">
        <f>IF(Data[[#This Row],[Category]]="Savings or Investments", Data[[#This Row],[Actual Expense]],0)</f>
        <v>100</v>
      </c>
    </row>
    <row r="6" spans="1:11" x14ac:dyDescent="0.2">
      <c r="A6" s="5" t="str">
        <f>TEXT(Data[[#This Row],[Date]],"yyyy")</f>
        <v>2021</v>
      </c>
      <c r="B6" s="5" t="str">
        <f>TEXT(Data[[#This Row],[Date]],"mmm")</f>
        <v>Jan</v>
      </c>
      <c r="C6" s="3">
        <v>44200</v>
      </c>
      <c r="D6" t="s">
        <v>54</v>
      </c>
      <c r="E6" t="s">
        <v>48</v>
      </c>
      <c r="F6" t="s">
        <v>70</v>
      </c>
      <c r="G6" s="1">
        <v>100</v>
      </c>
      <c r="I6" s="1">
        <f ca="1">IFERROR(OFFSET(Data[[#This Row],[Balance]],-1,0)+Data[[#This Row],[Actual Income]]-Data[[#This Row],[Actual Expense]], Data[[#This Row],[Actual Income]])</f>
        <v>1477.3799999999999</v>
      </c>
      <c r="J6" s="1">
        <f>IF(Data[[#This Row],[Category]]="Savings or Investments", Data[[#This Row],[Actual Expense]],0)</f>
        <v>100</v>
      </c>
    </row>
    <row r="7" spans="1:11" x14ac:dyDescent="0.2">
      <c r="A7" s="5" t="str">
        <f>TEXT(Data[[#This Row],[Date]],"yyyy")</f>
        <v>2021</v>
      </c>
      <c r="B7" s="5" t="str">
        <f>TEXT(Data[[#This Row],[Date]],"mmm")</f>
        <v>Jan</v>
      </c>
      <c r="C7" s="3">
        <v>44200</v>
      </c>
      <c r="D7" t="s">
        <v>72</v>
      </c>
      <c r="E7" t="s">
        <v>31</v>
      </c>
      <c r="F7" t="s">
        <v>30</v>
      </c>
      <c r="G7" s="1">
        <v>5.75</v>
      </c>
      <c r="I7" s="1">
        <f ca="1">IFERROR(OFFSET(Data[[#This Row],[Balance]],-1,0)+Data[[#This Row],[Actual Income]]-Data[[#This Row],[Actual Expense]], Data[[#This Row],[Actual Income]])</f>
        <v>1471.6299999999999</v>
      </c>
      <c r="J7" s="1">
        <f>IF(Data[[#This Row],[Category]]="Savings or Investments", Data[[#This Row],[Actual Expense]],0)</f>
        <v>0</v>
      </c>
    </row>
    <row r="8" spans="1:11" x14ac:dyDescent="0.2">
      <c r="A8" s="5" t="str">
        <f>TEXT(Data[[#This Row],[Date]],"yyyy")</f>
        <v>2021</v>
      </c>
      <c r="B8" s="5" t="str">
        <f>TEXT(Data[[#This Row],[Date]],"mmm")</f>
        <v>Jan</v>
      </c>
      <c r="C8" s="3">
        <v>44200</v>
      </c>
      <c r="D8" t="s">
        <v>76</v>
      </c>
      <c r="E8" t="s">
        <v>53</v>
      </c>
      <c r="F8" t="s">
        <v>77</v>
      </c>
      <c r="G8" s="1">
        <v>1113.8800000000001</v>
      </c>
      <c r="I8" s="1">
        <f ca="1">IFERROR(OFFSET(Data[[#This Row],[Balance]],-1,0)+Data[[#This Row],[Actual Income]]-Data[[#This Row],[Actual Expense]], Data[[#This Row],[Actual Income]])</f>
        <v>357.74999999999977</v>
      </c>
      <c r="J8" s="1">
        <f>IF(Data[[#This Row],[Category]]="Savings or Investments", Data[[#This Row],[Actual Expense]],0)</f>
        <v>0</v>
      </c>
    </row>
    <row r="9" spans="1:11" x14ac:dyDescent="0.2">
      <c r="A9" s="5" t="str">
        <f>TEXT(Data[[#This Row],[Date]],"yyyy")</f>
        <v>2021</v>
      </c>
      <c r="B9" s="5" t="str">
        <f>TEXT(Data[[#This Row],[Date]],"mmm")</f>
        <v>Jan</v>
      </c>
      <c r="C9" s="3">
        <v>44202</v>
      </c>
      <c r="D9" t="s">
        <v>59</v>
      </c>
      <c r="E9" t="s">
        <v>31</v>
      </c>
      <c r="F9" t="s">
        <v>55</v>
      </c>
      <c r="G9" s="1">
        <v>9.9600000000000009</v>
      </c>
      <c r="I9" s="1">
        <f ca="1">IFERROR(OFFSET(Data[[#This Row],[Balance]],-1,0)+Data[[#This Row],[Actual Income]]-Data[[#This Row],[Actual Expense]], Data[[#This Row],[Actual Income]])</f>
        <v>347.78999999999979</v>
      </c>
      <c r="J9" s="1">
        <f>IF(Data[[#This Row],[Category]]="Savings or Investments", Data[[#This Row],[Actual Expense]],0)</f>
        <v>0</v>
      </c>
    </row>
    <row r="10" spans="1:11" x14ac:dyDescent="0.2">
      <c r="A10" s="5" t="str">
        <f>TEXT(Data[[#This Row],[Date]],"yyyy")</f>
        <v>2021</v>
      </c>
      <c r="B10" s="5" t="str">
        <f>TEXT(Data[[#This Row],[Date]],"mmm")</f>
        <v>Jan</v>
      </c>
      <c r="C10" s="3">
        <v>44202</v>
      </c>
      <c r="D10" t="s">
        <v>114</v>
      </c>
      <c r="E10" t="s">
        <v>48</v>
      </c>
      <c r="F10" t="s">
        <v>28</v>
      </c>
      <c r="G10" s="1">
        <v>1000</v>
      </c>
      <c r="I10" s="1">
        <f ca="1">IFERROR(OFFSET(Data[[#This Row],[Balance]],-1,0)+Data[[#This Row],[Actual Income]]-Data[[#This Row],[Actual Expense]], Data[[#This Row],[Actual Income]])</f>
        <v>-652.21000000000026</v>
      </c>
      <c r="J10" s="1">
        <f>IF(Data[[#This Row],[Category]]="Savings or Investments", Data[[#This Row],[Actual Expense]],0)</f>
        <v>1000</v>
      </c>
    </row>
    <row r="11" spans="1:11" x14ac:dyDescent="0.2">
      <c r="A11" s="5" t="str">
        <f>TEXT(Data[[#This Row],[Date]],"yyyy")</f>
        <v>2021</v>
      </c>
      <c r="B11" s="5" t="str">
        <f>TEXT(Data[[#This Row],[Date]],"mmm")</f>
        <v>Jan</v>
      </c>
      <c r="C11" s="3">
        <v>44203</v>
      </c>
      <c r="D11" t="s">
        <v>59</v>
      </c>
      <c r="E11" t="s">
        <v>31</v>
      </c>
      <c r="F11" t="s">
        <v>55</v>
      </c>
      <c r="G11" s="1">
        <v>10.07</v>
      </c>
      <c r="I11" s="1">
        <f ca="1">IFERROR(OFFSET(Data[[#This Row],[Balance]],-1,0)+Data[[#This Row],[Actual Income]]-Data[[#This Row],[Actual Expense]], Data[[#This Row],[Actual Income]])</f>
        <v>-662.28000000000031</v>
      </c>
      <c r="J11" s="1">
        <f>IF(Data[[#This Row],[Category]]="Savings or Investments", Data[[#This Row],[Actual Expense]],0)</f>
        <v>0</v>
      </c>
    </row>
    <row r="12" spans="1:11" x14ac:dyDescent="0.2">
      <c r="A12" s="5" t="str">
        <f>TEXT(Data[[#This Row],[Date]],"yyyy")</f>
        <v>2021</v>
      </c>
      <c r="B12" s="5" t="str">
        <f>TEXT(Data[[#This Row],[Date]],"mmm")</f>
        <v>Jan</v>
      </c>
      <c r="C12" s="3">
        <v>44203</v>
      </c>
      <c r="D12" t="s">
        <v>63</v>
      </c>
      <c r="E12" t="s">
        <v>11</v>
      </c>
      <c r="F12" t="s">
        <v>194</v>
      </c>
      <c r="G12" s="1">
        <v>0.62</v>
      </c>
      <c r="I12" s="1">
        <f ca="1">IFERROR(OFFSET(Data[[#This Row],[Balance]],-1,0)+Data[[#This Row],[Actual Income]]-Data[[#This Row],[Actual Expense]], Data[[#This Row],[Actual Income]])</f>
        <v>-662.90000000000032</v>
      </c>
      <c r="J12" s="1">
        <f>IF(Data[[#This Row],[Category]]="Savings or Investments", Data[[#This Row],[Actual Expense]],0)</f>
        <v>0</v>
      </c>
    </row>
    <row r="13" spans="1:11" x14ac:dyDescent="0.2">
      <c r="A13" s="5" t="str">
        <f>TEXT(Data[[#This Row],[Date]],"yyyy")</f>
        <v>2021</v>
      </c>
      <c r="B13" s="5" t="str">
        <f>TEXT(Data[[#This Row],[Date]],"mmm")</f>
        <v>Jan</v>
      </c>
      <c r="C13" s="3">
        <v>44203</v>
      </c>
      <c r="D13" t="s">
        <v>62</v>
      </c>
      <c r="E13" t="s">
        <v>44</v>
      </c>
      <c r="F13" t="s">
        <v>69</v>
      </c>
      <c r="G13" s="1">
        <v>8</v>
      </c>
      <c r="I13" s="1">
        <f ca="1">IFERROR(OFFSET(Data[[#This Row],[Balance]],-1,0)+Data[[#This Row],[Actual Income]]-Data[[#This Row],[Actual Expense]], Data[[#This Row],[Actual Income]])</f>
        <v>-670.90000000000032</v>
      </c>
      <c r="J13" s="1">
        <f>IF(Data[[#This Row],[Category]]="Savings or Investments", Data[[#This Row],[Actual Expense]],0)</f>
        <v>0</v>
      </c>
    </row>
    <row r="14" spans="1:11" x14ac:dyDescent="0.2">
      <c r="A14" s="5" t="str">
        <f>TEXT(Data[[#This Row],[Date]],"yyyy")</f>
        <v>2021</v>
      </c>
      <c r="B14" s="5" t="str">
        <f>TEXT(Data[[#This Row],[Date]],"mmm")</f>
        <v>Jan</v>
      </c>
      <c r="C14" s="3">
        <v>44203</v>
      </c>
      <c r="D14" t="s">
        <v>61</v>
      </c>
      <c r="E14" t="s">
        <v>50</v>
      </c>
      <c r="F14" t="s">
        <v>11</v>
      </c>
      <c r="G14" s="1">
        <v>32</v>
      </c>
      <c r="I14" s="1">
        <f ca="1">IFERROR(OFFSET(Data[[#This Row],[Balance]],-1,0)+Data[[#This Row],[Actual Income]]-Data[[#This Row],[Actual Expense]], Data[[#This Row],[Actual Income]])</f>
        <v>-702.90000000000032</v>
      </c>
      <c r="J14" s="1">
        <f>IF(Data[[#This Row],[Category]]="Savings or Investments", Data[[#This Row],[Actual Expense]],0)</f>
        <v>0</v>
      </c>
    </row>
    <row r="15" spans="1:11" x14ac:dyDescent="0.2">
      <c r="A15" s="5" t="str">
        <f>TEXT(Data[[#This Row],[Date]],"yyyy")</f>
        <v>2021</v>
      </c>
      <c r="B15" s="5" t="str">
        <f>TEXT(Data[[#This Row],[Date]],"mmm")</f>
        <v>Jan</v>
      </c>
      <c r="C15" s="3">
        <v>44203</v>
      </c>
      <c r="D15" t="s">
        <v>75</v>
      </c>
      <c r="E15" t="s">
        <v>48</v>
      </c>
      <c r="F15" s="24" t="s">
        <v>74</v>
      </c>
      <c r="G15" s="1">
        <v>2091.0300000000002</v>
      </c>
      <c r="I15" s="1">
        <f ca="1">IFERROR(OFFSET(Data[[#This Row],[Balance]],-1,0)+Data[[#This Row],[Actual Income]]-Data[[#This Row],[Actual Expense]], Data[[#This Row],[Actual Income]])</f>
        <v>-2793.9300000000003</v>
      </c>
      <c r="J15" s="1">
        <f>IF(Data[[#This Row],[Category]]="Savings or Investments", Data[[#This Row],[Actual Expense]],0)</f>
        <v>2091.0300000000002</v>
      </c>
    </row>
    <row r="16" spans="1:11" x14ac:dyDescent="0.2">
      <c r="A16" s="5" t="str">
        <f>TEXT(Data[[#This Row],[Date]],"yyyy")</f>
        <v>2021</v>
      </c>
      <c r="B16" s="5" t="str">
        <f>TEXT(Data[[#This Row],[Date]],"mmm")</f>
        <v>Jan</v>
      </c>
      <c r="C16" s="3">
        <v>44204</v>
      </c>
      <c r="D16" t="s">
        <v>52</v>
      </c>
      <c r="E16" t="s">
        <v>42</v>
      </c>
      <c r="F16" s="10" t="s">
        <v>0</v>
      </c>
      <c r="G16" s="1">
        <v>700</v>
      </c>
      <c r="I16" s="1">
        <f ca="1">IFERROR(OFFSET(Data[[#This Row],[Balance]],-1,0)+Data[[#This Row],[Actual Income]]-Data[[#This Row],[Actual Expense]], Data[[#This Row],[Actual Income]])</f>
        <v>-3493.9300000000003</v>
      </c>
      <c r="J16" s="1">
        <f>IF(Data[[#This Row],[Category]]="Savings or Investments", Data[[#This Row],[Actual Expense]],0)</f>
        <v>0</v>
      </c>
    </row>
    <row r="17" spans="1:10" x14ac:dyDescent="0.2">
      <c r="A17" s="5" t="str">
        <f>TEXT(Data[[#This Row],[Date]],"yyyy")</f>
        <v>2021</v>
      </c>
      <c r="B17" s="5" t="str">
        <f>TEXT(Data[[#This Row],[Date]],"mmm")</f>
        <v>Jan</v>
      </c>
      <c r="C17" s="3">
        <v>44204</v>
      </c>
      <c r="D17" t="s">
        <v>64</v>
      </c>
      <c r="E17" t="s">
        <v>31</v>
      </c>
      <c r="F17" s="24" t="s">
        <v>30</v>
      </c>
      <c r="G17" s="1">
        <v>22.55</v>
      </c>
      <c r="I17" s="1">
        <f ca="1">IFERROR(OFFSET(Data[[#This Row],[Balance]],-1,0)+Data[[#This Row],[Actual Income]]-Data[[#This Row],[Actual Expense]], Data[[#This Row],[Actual Income]])</f>
        <v>-3516.4800000000005</v>
      </c>
      <c r="J17" s="1">
        <f>IF(Data[[#This Row],[Category]]="Savings or Investments", Data[[#This Row],[Actual Expense]],0)</f>
        <v>0</v>
      </c>
    </row>
    <row r="18" spans="1:10" x14ac:dyDescent="0.2">
      <c r="A18" s="5" t="str">
        <f>TEXT(Data[[#This Row],[Date]],"yyyy")</f>
        <v>2021</v>
      </c>
      <c r="B18" s="5" t="str">
        <f>TEXT(Data[[#This Row],[Date]],"mmm")</f>
        <v>Jan</v>
      </c>
      <c r="C18" s="3">
        <v>44205</v>
      </c>
      <c r="D18" t="s">
        <v>65</v>
      </c>
      <c r="E18" t="s">
        <v>31</v>
      </c>
      <c r="F18" t="s">
        <v>55</v>
      </c>
      <c r="G18" s="1">
        <v>5.32</v>
      </c>
      <c r="I18" s="1">
        <f ca="1">IFERROR(OFFSET(Data[[#This Row],[Balance]],-1,0)+Data[[#This Row],[Actual Income]]-Data[[#This Row],[Actual Expense]], Data[[#This Row],[Actual Income]])</f>
        <v>-3521.8000000000006</v>
      </c>
      <c r="J18" s="1">
        <f>IF(Data[[#This Row],[Category]]="Savings or Investments", Data[[#This Row],[Actual Expense]],0)</f>
        <v>0</v>
      </c>
    </row>
    <row r="19" spans="1:10" x14ac:dyDescent="0.2">
      <c r="A19" s="5" t="str">
        <f>TEXT(Data[[#This Row],[Date]],"yyyy")</f>
        <v>2021</v>
      </c>
      <c r="B19" s="5" t="str">
        <f>TEXT(Data[[#This Row],[Date]],"mmm")</f>
        <v>Jan</v>
      </c>
      <c r="C19" s="3">
        <v>44206</v>
      </c>
      <c r="D19" t="s">
        <v>59</v>
      </c>
      <c r="E19" t="s">
        <v>31</v>
      </c>
      <c r="F19" t="s">
        <v>55</v>
      </c>
      <c r="G19" s="1">
        <v>10.61</v>
      </c>
      <c r="I19" s="1">
        <f ca="1">IFERROR(OFFSET(Data[[#This Row],[Balance]],-1,0)+Data[[#This Row],[Actual Income]]-Data[[#This Row],[Actual Expense]], Data[[#This Row],[Actual Income]])</f>
        <v>-3532.4100000000008</v>
      </c>
      <c r="J19" s="1">
        <f>IF(Data[[#This Row],[Category]]="Savings or Investments", Data[[#This Row],[Actual Expense]],0)</f>
        <v>0</v>
      </c>
    </row>
    <row r="20" spans="1:10" x14ac:dyDescent="0.2">
      <c r="A20" s="5" t="str">
        <f>TEXT(Data[[#This Row],[Date]],"yyyy")</f>
        <v>2021</v>
      </c>
      <c r="B20" s="5" t="str">
        <f>TEXT(Data[[#This Row],[Date]],"mmm")</f>
        <v>Jan</v>
      </c>
      <c r="C20" s="3">
        <v>44206</v>
      </c>
      <c r="D20" t="s">
        <v>66</v>
      </c>
      <c r="E20" t="s">
        <v>31</v>
      </c>
      <c r="F20" t="s">
        <v>29</v>
      </c>
      <c r="G20" s="1">
        <v>9.5399999999999991</v>
      </c>
      <c r="I20" s="1">
        <f ca="1">IFERROR(OFFSET(Data[[#This Row],[Balance]],-1,0)+Data[[#This Row],[Actual Income]]-Data[[#This Row],[Actual Expense]], Data[[#This Row],[Actual Income]])</f>
        <v>-3541.9500000000007</v>
      </c>
      <c r="J20" s="1">
        <f>IF(Data[[#This Row],[Category]]="Savings or Investments", Data[[#This Row],[Actual Expense]],0)</f>
        <v>0</v>
      </c>
    </row>
    <row r="21" spans="1:10" x14ac:dyDescent="0.2">
      <c r="A21" s="5" t="str">
        <f>TEXT(Data[[#This Row],[Date]],"yyyy")</f>
        <v>2021</v>
      </c>
      <c r="B21" s="5" t="str">
        <f>TEXT(Data[[#This Row],[Date]],"mmm")</f>
        <v>Jan</v>
      </c>
      <c r="C21" s="3">
        <v>44207</v>
      </c>
      <c r="D21" t="s">
        <v>72</v>
      </c>
      <c r="E21" t="s">
        <v>31</v>
      </c>
      <c r="F21" t="s">
        <v>30</v>
      </c>
      <c r="G21" s="1">
        <v>30</v>
      </c>
      <c r="I21" s="1">
        <f ca="1">IFERROR(OFFSET(Data[[#This Row],[Balance]],-1,0)+Data[[#This Row],[Actual Income]]-Data[[#This Row],[Actual Expense]], Data[[#This Row],[Actual Income]])</f>
        <v>-3571.9500000000007</v>
      </c>
      <c r="J21" s="1">
        <f>IF(Data[[#This Row],[Category]]="Savings or Investments", Data[[#This Row],[Actual Expense]],0)</f>
        <v>0</v>
      </c>
    </row>
    <row r="22" spans="1:10" x14ac:dyDescent="0.2">
      <c r="A22" s="5" t="str">
        <f>TEXT(Data[[#This Row],[Date]],"yyyy")</f>
        <v>2021</v>
      </c>
      <c r="B22" s="5" t="str">
        <f>TEXT(Data[[#This Row],[Date]],"mmm")</f>
        <v>Jan</v>
      </c>
      <c r="C22" s="3">
        <v>44207</v>
      </c>
      <c r="D22" t="s">
        <v>54</v>
      </c>
      <c r="E22" t="s">
        <v>48</v>
      </c>
      <c r="F22" t="s">
        <v>70</v>
      </c>
      <c r="G22" s="1">
        <v>100</v>
      </c>
      <c r="I22" s="1">
        <f ca="1">IFERROR(OFFSET(Data[[#This Row],[Balance]],-1,0)+Data[[#This Row],[Actual Income]]-Data[[#This Row],[Actual Expense]], Data[[#This Row],[Actual Income]])</f>
        <v>-3671.9500000000007</v>
      </c>
      <c r="J22" s="1">
        <f>IF(Data[[#This Row],[Category]]="Savings or Investments", Data[[#This Row],[Actual Expense]],0)</f>
        <v>100</v>
      </c>
    </row>
    <row r="23" spans="1:10" x14ac:dyDescent="0.2">
      <c r="A23" s="5" t="str">
        <f>TEXT(Data[[#This Row],[Date]],"yyyy")</f>
        <v>2021</v>
      </c>
      <c r="B23" s="5" t="str">
        <f>TEXT(Data[[#This Row],[Date]],"mmm")</f>
        <v>Jan</v>
      </c>
      <c r="C23" s="3">
        <v>44207</v>
      </c>
      <c r="D23" t="s">
        <v>73</v>
      </c>
      <c r="E23" t="s">
        <v>31</v>
      </c>
      <c r="F23" t="s">
        <v>30</v>
      </c>
      <c r="G23" s="1">
        <v>10</v>
      </c>
      <c r="I23" s="1">
        <f ca="1">IFERROR(OFFSET(Data[[#This Row],[Balance]],-1,0)+Data[[#This Row],[Actual Income]]-Data[[#This Row],[Actual Expense]], Data[[#This Row],[Actual Income]])</f>
        <v>-3681.9500000000007</v>
      </c>
      <c r="J23" s="1">
        <f>IF(Data[[#This Row],[Category]]="Savings or Investments", Data[[#This Row],[Actual Expense]],0)</f>
        <v>0</v>
      </c>
    </row>
    <row r="24" spans="1:10" x14ac:dyDescent="0.2">
      <c r="A24" s="5" t="str">
        <f>TEXT(Data[[#This Row],[Date]],"yyyy")</f>
        <v>2021</v>
      </c>
      <c r="B24" s="5" t="str">
        <f>TEXT(Data[[#This Row],[Date]],"mmm")</f>
        <v>Jan</v>
      </c>
      <c r="C24" s="3">
        <v>44207</v>
      </c>
      <c r="D24" t="s">
        <v>91</v>
      </c>
      <c r="E24" t="s">
        <v>53</v>
      </c>
      <c r="F24" t="s">
        <v>80</v>
      </c>
      <c r="G24" s="1">
        <v>105.77</v>
      </c>
      <c r="I24" s="1">
        <f ca="1">IFERROR(OFFSET(Data[[#This Row],[Balance]],-1,0)+Data[[#This Row],[Actual Income]]-Data[[#This Row],[Actual Expense]], Data[[#This Row],[Actual Income]])</f>
        <v>-3787.7200000000007</v>
      </c>
      <c r="J24" s="1">
        <f>IF(Data[[#This Row],[Category]]="Savings or Investments", Data[[#This Row],[Actual Expense]],0)</f>
        <v>0</v>
      </c>
    </row>
    <row r="25" spans="1:10" x14ac:dyDescent="0.2">
      <c r="A25" s="5" t="str">
        <f>TEXT(Data[[#This Row],[Date]],"yyyy")</f>
        <v>2021</v>
      </c>
      <c r="B25" s="5" t="str">
        <f>TEXT(Data[[#This Row],[Date]],"mmm")</f>
        <v>Jan</v>
      </c>
      <c r="C25" s="3">
        <v>44208</v>
      </c>
      <c r="D25" t="s">
        <v>4</v>
      </c>
      <c r="E25" t="s">
        <v>44</v>
      </c>
      <c r="F25" t="s">
        <v>19</v>
      </c>
      <c r="G25" s="1">
        <v>26.41</v>
      </c>
      <c r="I25" s="1">
        <f ca="1">IFERROR(OFFSET(Data[[#This Row],[Balance]],-1,0)+Data[[#This Row],[Actual Income]]-Data[[#This Row],[Actual Expense]], Data[[#This Row],[Actual Income]])</f>
        <v>-3814.1300000000006</v>
      </c>
      <c r="J25" s="1">
        <f>IF(Data[[#This Row],[Category]]="Savings or Investments", Data[[#This Row],[Actual Expense]],0)</f>
        <v>0</v>
      </c>
    </row>
    <row r="26" spans="1:10" x14ac:dyDescent="0.2">
      <c r="A26" s="5" t="str">
        <f>TEXT(Data[[#This Row],[Date]],"yyyy")</f>
        <v>2021</v>
      </c>
      <c r="B26" s="5" t="str">
        <f>TEXT(Data[[#This Row],[Date]],"mmm")</f>
        <v>Jan</v>
      </c>
      <c r="C26" s="3">
        <v>44211</v>
      </c>
      <c r="D26" t="s">
        <v>114</v>
      </c>
      <c r="E26" t="s">
        <v>48</v>
      </c>
      <c r="F26" t="s">
        <v>27</v>
      </c>
      <c r="G26" s="1">
        <v>500</v>
      </c>
      <c r="I26" s="1">
        <f ca="1">IFERROR(OFFSET(Data[[#This Row],[Balance]],-1,0)+Data[[#This Row],[Actual Income]]-Data[[#This Row],[Actual Expense]], Data[[#This Row],[Actual Income]])</f>
        <v>-4314.130000000001</v>
      </c>
      <c r="J26" s="1">
        <f>IF(Data[[#This Row],[Category]]="Savings or Investments", Data[[#This Row],[Actual Expense]],0)</f>
        <v>500</v>
      </c>
    </row>
    <row r="27" spans="1:10" x14ac:dyDescent="0.2">
      <c r="A27" s="5" t="str">
        <f>TEXT(Data[[#This Row],[Date]],"yyyy")</f>
        <v>2021</v>
      </c>
      <c r="B27" s="5" t="str">
        <f>TEXT(Data[[#This Row],[Date]],"mmm")</f>
        <v>Jan</v>
      </c>
      <c r="C27" s="3">
        <v>44211</v>
      </c>
      <c r="D27" t="s">
        <v>68</v>
      </c>
      <c r="E27" t="s">
        <v>31</v>
      </c>
      <c r="F27" t="s">
        <v>30</v>
      </c>
      <c r="G27" s="1">
        <v>11.7</v>
      </c>
      <c r="I27" s="1">
        <f ca="1">IFERROR(OFFSET(Data[[#This Row],[Balance]],-1,0)+Data[[#This Row],[Actual Income]]-Data[[#This Row],[Actual Expense]], Data[[#This Row],[Actual Income]])</f>
        <v>-4325.8300000000008</v>
      </c>
      <c r="J27" s="1">
        <f>IF(Data[[#This Row],[Category]]="Savings or Investments", Data[[#This Row],[Actual Expense]],0)</f>
        <v>0</v>
      </c>
    </row>
    <row r="28" spans="1:10" x14ac:dyDescent="0.2">
      <c r="A28" s="5" t="str">
        <f>TEXT(Data[[#This Row],[Date]],"yyyy")</f>
        <v>2021</v>
      </c>
      <c r="B28" s="5" t="str">
        <f>TEXT(Data[[#This Row],[Date]],"mmm")</f>
        <v>Jan</v>
      </c>
      <c r="C28" s="3">
        <v>44211</v>
      </c>
      <c r="D28" t="s">
        <v>83</v>
      </c>
      <c r="E28" t="s">
        <v>81</v>
      </c>
      <c r="F28" t="s">
        <v>174</v>
      </c>
      <c r="G28" s="1"/>
      <c r="H28">
        <v>1782.84</v>
      </c>
      <c r="I28" s="1">
        <f ca="1">IFERROR(OFFSET(Data[[#This Row],[Balance]],-1,0)+Data[[#This Row],[Actual Income]]-Data[[#This Row],[Actual Expense]], Data[[#This Row],[Actual Income]])</f>
        <v>-2542.9900000000007</v>
      </c>
      <c r="J28" s="1">
        <f>IF(Data[[#This Row],[Category]]="Savings or Investments", Data[[#This Row],[Actual Expense]],0)</f>
        <v>0</v>
      </c>
    </row>
    <row r="29" spans="1:10" x14ac:dyDescent="0.2">
      <c r="A29" s="5" t="str">
        <f>TEXT(Data[[#This Row],[Date]],"yyyy")</f>
        <v>2021</v>
      </c>
      <c r="B29" s="5" t="str">
        <f>TEXT(Data[[#This Row],[Date]],"mmm")</f>
        <v>Jan</v>
      </c>
      <c r="C29" s="3">
        <v>44214</v>
      </c>
      <c r="D29" t="s">
        <v>59</v>
      </c>
      <c r="E29" t="s">
        <v>31</v>
      </c>
      <c r="F29" t="s">
        <v>55</v>
      </c>
      <c r="G29" s="1">
        <v>10.77</v>
      </c>
      <c r="I29" s="1">
        <f ca="1">IFERROR(OFFSET(Data[[#This Row],[Balance]],-1,0)+Data[[#This Row],[Actual Income]]-Data[[#This Row],[Actual Expense]], Data[[#This Row],[Actual Income]])</f>
        <v>-2553.7600000000007</v>
      </c>
      <c r="J29" s="1">
        <f>IF(Data[[#This Row],[Category]]="Savings or Investments", Data[[#This Row],[Actual Expense]],0)</f>
        <v>0</v>
      </c>
    </row>
    <row r="30" spans="1:10" x14ac:dyDescent="0.2">
      <c r="A30" s="5" t="str">
        <f>TEXT(Data[[#This Row],[Date]],"yyyy")</f>
        <v>2021</v>
      </c>
      <c r="B30" s="5" t="str">
        <f>TEXT(Data[[#This Row],[Date]],"mmm")</f>
        <v>Jan</v>
      </c>
      <c r="C30" s="3">
        <v>44215</v>
      </c>
      <c r="D30" t="s">
        <v>71</v>
      </c>
      <c r="E30" t="s">
        <v>31</v>
      </c>
      <c r="F30" t="s">
        <v>30</v>
      </c>
      <c r="G30" s="1">
        <v>25.25</v>
      </c>
      <c r="I30" s="1">
        <f ca="1">IFERROR(OFFSET(Data[[#This Row],[Balance]],-1,0)+Data[[#This Row],[Actual Income]]-Data[[#This Row],[Actual Expense]], Data[[#This Row],[Actual Income]])</f>
        <v>-2579.0100000000007</v>
      </c>
      <c r="J30" s="1">
        <f>IF(Data[[#This Row],[Category]]="Savings or Investments", Data[[#This Row],[Actual Expense]],0)</f>
        <v>0</v>
      </c>
    </row>
    <row r="31" spans="1:10" x14ac:dyDescent="0.2">
      <c r="A31" s="5" t="str">
        <f>TEXT(Data[[#This Row],[Date]],"yyyy")</f>
        <v>2021</v>
      </c>
      <c r="B31" s="5" t="str">
        <f>TEXT(Data[[#This Row],[Date]],"mmm")</f>
        <v>Jan</v>
      </c>
      <c r="C31" s="3">
        <v>44216</v>
      </c>
      <c r="D31" t="s">
        <v>54</v>
      </c>
      <c r="E31" t="s">
        <v>48</v>
      </c>
      <c r="F31" t="s">
        <v>70</v>
      </c>
      <c r="G31" s="1">
        <v>400</v>
      </c>
      <c r="I31" s="1">
        <f ca="1">IFERROR(OFFSET(Data[[#This Row],[Balance]],-1,0)+Data[[#This Row],[Actual Income]]-Data[[#This Row],[Actual Expense]], Data[[#This Row],[Actual Income]])</f>
        <v>-2979.0100000000007</v>
      </c>
      <c r="J31" s="1">
        <f>IF(Data[[#This Row],[Category]]="Savings or Investments", Data[[#This Row],[Actual Expense]],0)</f>
        <v>400</v>
      </c>
    </row>
    <row r="32" spans="1:10" x14ac:dyDescent="0.2">
      <c r="A32" s="5" t="str">
        <f>TEXT(Data[[#This Row],[Date]],"yyyy")</f>
        <v>2021</v>
      </c>
      <c r="B32" s="5" t="str">
        <f>TEXT(Data[[#This Row],[Date]],"mmm")</f>
        <v>Jan</v>
      </c>
      <c r="C32" s="3">
        <v>44216</v>
      </c>
      <c r="D32" t="s">
        <v>59</v>
      </c>
      <c r="E32" t="s">
        <v>31</v>
      </c>
      <c r="F32" t="s">
        <v>55</v>
      </c>
      <c r="G32" s="1">
        <v>8.66</v>
      </c>
      <c r="I32" s="1">
        <f ca="1">IFERROR(OFFSET(Data[[#This Row],[Balance]],-1,0)+Data[[#This Row],[Actual Income]]-Data[[#This Row],[Actual Expense]], Data[[#This Row],[Actual Income]])</f>
        <v>-2987.6700000000005</v>
      </c>
      <c r="J32" s="1">
        <f>IF(Data[[#This Row],[Category]]="Savings or Investments", Data[[#This Row],[Actual Expense]],0)</f>
        <v>0</v>
      </c>
    </row>
    <row r="33" spans="1:10" x14ac:dyDescent="0.2">
      <c r="A33" s="5" t="str">
        <f>TEXT(Data[[#This Row],[Date]],"yyyy")</f>
        <v>2021</v>
      </c>
      <c r="B33" s="5" t="str">
        <f>TEXT(Data[[#This Row],[Date]],"mmm")</f>
        <v>Jan</v>
      </c>
      <c r="C33" s="3">
        <v>44217</v>
      </c>
      <c r="D33" t="s">
        <v>98</v>
      </c>
      <c r="E33" t="s">
        <v>44</v>
      </c>
      <c r="F33" t="s">
        <v>19</v>
      </c>
      <c r="G33" s="1">
        <v>25.83</v>
      </c>
      <c r="I33" s="1">
        <f ca="1">IFERROR(OFFSET(Data[[#This Row],[Balance]],-1,0)+Data[[#This Row],[Actual Income]]-Data[[#This Row],[Actual Expense]], Data[[#This Row],[Actual Income]])</f>
        <v>-3013.5000000000005</v>
      </c>
      <c r="J33" s="1">
        <f>IF(Data[[#This Row],[Category]]="Savings or Investments", Data[[#This Row],[Actual Expense]],0)</f>
        <v>0</v>
      </c>
    </row>
    <row r="34" spans="1:10" x14ac:dyDescent="0.2">
      <c r="A34" s="5" t="str">
        <f>TEXT(Data[[#This Row],[Date]],"yyyy")</f>
        <v>2021</v>
      </c>
      <c r="B34" s="5" t="str">
        <f>TEXT(Data[[#This Row],[Date]],"mmm")</f>
        <v>Jan</v>
      </c>
      <c r="C34" s="3">
        <v>44218</v>
      </c>
      <c r="D34" t="s">
        <v>59</v>
      </c>
      <c r="E34" t="s">
        <v>31</v>
      </c>
      <c r="F34" t="s">
        <v>55</v>
      </c>
      <c r="G34" s="1">
        <v>10.61</v>
      </c>
      <c r="I34" s="1">
        <f ca="1">IFERROR(OFFSET(Data[[#This Row],[Balance]],-1,0)+Data[[#This Row],[Actual Income]]-Data[[#This Row],[Actual Expense]], Data[[#This Row],[Actual Income]])</f>
        <v>-3024.1100000000006</v>
      </c>
      <c r="J34" s="1">
        <f>IF(Data[[#This Row],[Category]]="Savings or Investments", Data[[#This Row],[Actual Expense]],0)</f>
        <v>0</v>
      </c>
    </row>
    <row r="35" spans="1:10" x14ac:dyDescent="0.2">
      <c r="A35" s="5" t="str">
        <f>TEXT(Data[[#This Row],[Date]],"yyyy")</f>
        <v>2021</v>
      </c>
      <c r="B35" s="5" t="str">
        <f>TEXT(Data[[#This Row],[Date]],"mmm")</f>
        <v>Jan</v>
      </c>
      <c r="C35" s="3">
        <v>44221</v>
      </c>
      <c r="D35" t="s">
        <v>96</v>
      </c>
      <c r="E35" t="s">
        <v>31</v>
      </c>
      <c r="F35" t="s">
        <v>30</v>
      </c>
      <c r="G35" s="1">
        <v>25</v>
      </c>
      <c r="I35" s="1">
        <f ca="1">IFERROR(OFFSET(Data[[#This Row],[Balance]],-1,0)+Data[[#This Row],[Actual Income]]-Data[[#This Row],[Actual Expense]], Data[[#This Row],[Actual Income]])</f>
        <v>-3049.1100000000006</v>
      </c>
      <c r="J35" s="1">
        <f>IF(Data[[#This Row],[Category]]="Savings or Investments", Data[[#This Row],[Actual Expense]],0)</f>
        <v>0</v>
      </c>
    </row>
    <row r="36" spans="1:10" x14ac:dyDescent="0.2">
      <c r="A36" s="5" t="str">
        <f>TEXT(Data[[#This Row],[Date]],"yyyy")</f>
        <v>2021</v>
      </c>
      <c r="B36" s="5" t="str">
        <f>TEXT(Data[[#This Row],[Date]],"mmm")</f>
        <v>Jan</v>
      </c>
      <c r="C36" s="3">
        <v>44221</v>
      </c>
      <c r="D36" t="s">
        <v>95</v>
      </c>
      <c r="E36" t="s">
        <v>31</v>
      </c>
      <c r="F36" t="s">
        <v>30</v>
      </c>
      <c r="G36" s="1">
        <v>34.229999999999997</v>
      </c>
      <c r="I36" s="1">
        <f ca="1">IFERROR(OFFSET(Data[[#This Row],[Balance]],-1,0)+Data[[#This Row],[Actual Income]]-Data[[#This Row],[Actual Expense]], Data[[#This Row],[Actual Income]])</f>
        <v>-3083.3400000000006</v>
      </c>
      <c r="J36" s="1">
        <f>IF(Data[[#This Row],[Category]]="Savings or Investments", Data[[#This Row],[Actual Expense]],0)</f>
        <v>0</v>
      </c>
    </row>
    <row r="37" spans="1:10" x14ac:dyDescent="0.2">
      <c r="A37" s="5" t="str">
        <f>TEXT(Data[[#This Row],[Date]],"yyyy")</f>
        <v>2021</v>
      </c>
      <c r="B37" s="5" t="str">
        <f>TEXT(Data[[#This Row],[Date]],"mmm")</f>
        <v>Jan</v>
      </c>
      <c r="C37" s="3">
        <v>44222</v>
      </c>
      <c r="D37" t="s">
        <v>97</v>
      </c>
      <c r="E37" t="s">
        <v>48</v>
      </c>
      <c r="F37" t="s">
        <v>70</v>
      </c>
      <c r="G37" s="1">
        <v>1395.06</v>
      </c>
      <c r="I37" s="1">
        <f ca="1">IFERROR(OFFSET(Data[[#This Row],[Balance]],-1,0)+Data[[#This Row],[Actual Income]]-Data[[#This Row],[Actual Expense]], Data[[#This Row],[Actual Income]])</f>
        <v>-4478.4000000000005</v>
      </c>
      <c r="J37" s="1">
        <f>IF(Data[[#This Row],[Category]]="Savings or Investments", Data[[#This Row],[Actual Expense]],0)</f>
        <v>1395.06</v>
      </c>
    </row>
    <row r="38" spans="1:10" x14ac:dyDescent="0.2">
      <c r="A38" s="5" t="str">
        <f>TEXT(Data[[#This Row],[Date]],"yyyy")</f>
        <v>2021</v>
      </c>
      <c r="B38" s="5" t="str">
        <f>TEXT(Data[[#This Row],[Date]],"mmm")</f>
        <v>Jan</v>
      </c>
      <c r="C38" s="3">
        <v>44224</v>
      </c>
      <c r="D38" t="s">
        <v>59</v>
      </c>
      <c r="E38" t="s">
        <v>31</v>
      </c>
      <c r="F38" s="24" t="s">
        <v>55</v>
      </c>
      <c r="G38" s="1">
        <v>8.7100000000000009</v>
      </c>
      <c r="I38" s="1">
        <f ca="1">IFERROR(OFFSET(Data[[#This Row],[Balance]],-1,0)+Data[[#This Row],[Actual Income]]-Data[[#This Row],[Actual Expense]], Data[[#This Row],[Actual Income]])</f>
        <v>-4487.1100000000006</v>
      </c>
      <c r="J38" s="1">
        <f>IF(Data[[#This Row],[Category]]="Savings or Investments", Data[[#This Row],[Actual Expense]],0)</f>
        <v>0</v>
      </c>
    </row>
    <row r="39" spans="1:10" x14ac:dyDescent="0.2">
      <c r="A39" s="5" t="str">
        <f>TEXT(Data[[#This Row],[Date]],"yyyy")</f>
        <v>2021</v>
      </c>
      <c r="B39" s="5" t="str">
        <f>TEXT(Data[[#This Row],[Date]],"mmm")</f>
        <v>Jan</v>
      </c>
      <c r="C39" s="3">
        <v>44224</v>
      </c>
      <c r="D39" t="s">
        <v>114</v>
      </c>
      <c r="E39" t="s">
        <v>48</v>
      </c>
      <c r="F39" t="s">
        <v>28</v>
      </c>
      <c r="G39" s="1">
        <v>500</v>
      </c>
      <c r="I39" s="1">
        <f ca="1">IFERROR(OFFSET(Data[[#This Row],[Balance]],-1,0)+Data[[#This Row],[Actual Income]]-Data[[#This Row],[Actual Expense]], Data[[#This Row],[Actual Income]])</f>
        <v>-4987.1100000000006</v>
      </c>
      <c r="J39" s="1">
        <f>IF(Data[[#This Row],[Category]]="Savings or Investments", Data[[#This Row],[Actual Expense]],0)</f>
        <v>500</v>
      </c>
    </row>
    <row r="40" spans="1:10" x14ac:dyDescent="0.2">
      <c r="A40" s="5" t="str">
        <f>TEXT(Data[[#This Row],[Date]],"yyyy")</f>
        <v>2021</v>
      </c>
      <c r="B40" s="5" t="str">
        <f>TEXT(Data[[#This Row],[Date]],"mmm")</f>
        <v>Jan</v>
      </c>
      <c r="C40" s="3">
        <v>44225</v>
      </c>
      <c r="D40" t="s">
        <v>99</v>
      </c>
      <c r="E40" t="s">
        <v>31</v>
      </c>
      <c r="F40" t="s">
        <v>29</v>
      </c>
      <c r="G40" s="1">
        <v>57.99</v>
      </c>
      <c r="I40" s="1">
        <f ca="1">IFERROR(OFFSET(Data[[#This Row],[Balance]],-1,0)+Data[[#This Row],[Actual Income]]-Data[[#This Row],[Actual Expense]], Data[[#This Row],[Actual Income]])</f>
        <v>-5045.1000000000004</v>
      </c>
      <c r="J40" s="1">
        <f>IF(Data[[#This Row],[Category]]="Savings or Investments", Data[[#This Row],[Actual Expense]],0)</f>
        <v>0</v>
      </c>
    </row>
    <row r="41" spans="1:10" x14ac:dyDescent="0.2">
      <c r="A41" s="5" t="str">
        <f>TEXT(Data[[#This Row],[Date]],"yyyy")</f>
        <v>2021</v>
      </c>
      <c r="B41" s="5" t="str">
        <f>TEXT(Data[[#This Row],[Date]],"mmm")</f>
        <v>Jan</v>
      </c>
      <c r="C41" s="3">
        <v>44225</v>
      </c>
      <c r="D41" t="s">
        <v>83</v>
      </c>
      <c r="E41" t="s">
        <v>81</v>
      </c>
      <c r="F41" t="s">
        <v>174</v>
      </c>
      <c r="G41" s="1"/>
      <c r="H41">
        <v>1782.84</v>
      </c>
      <c r="I41" s="1">
        <f ca="1">IFERROR(OFFSET(Data[[#This Row],[Balance]],-1,0)+Data[[#This Row],[Actual Income]]-Data[[#This Row],[Actual Expense]], Data[[#This Row],[Actual Income]])</f>
        <v>-3262.26</v>
      </c>
      <c r="J41" s="1">
        <f>IF(Data[[#This Row],[Category]]="Savings or Investments", Data[[#This Row],[Actual Expense]],0)</f>
        <v>0</v>
      </c>
    </row>
    <row r="42" spans="1:10" x14ac:dyDescent="0.2">
      <c r="A42" s="5" t="str">
        <f>TEXT(Data[[#This Row],[Date]],"yyyy")</f>
        <v>2021</v>
      </c>
      <c r="B42" s="5" t="str">
        <f>TEXT(Data[[#This Row],[Date]],"mmm")</f>
        <v>Jan</v>
      </c>
      <c r="C42" s="3">
        <v>44226</v>
      </c>
      <c r="D42" t="s">
        <v>59</v>
      </c>
      <c r="E42" t="s">
        <v>31</v>
      </c>
      <c r="F42" t="s">
        <v>55</v>
      </c>
      <c r="G42" s="1">
        <v>9.85</v>
      </c>
      <c r="I42" s="1">
        <f ca="1">IFERROR(OFFSET(Data[[#This Row],[Balance]],-1,0)+Data[[#This Row],[Actual Income]]-Data[[#This Row],[Actual Expense]], Data[[#This Row],[Actual Income]])</f>
        <v>-3272.11</v>
      </c>
      <c r="J42" s="1">
        <f>IF(Data[[#This Row],[Category]]="Savings or Investments", Data[[#This Row],[Actual Expense]],0)</f>
        <v>0</v>
      </c>
    </row>
    <row r="43" spans="1:10" x14ac:dyDescent="0.2">
      <c r="A43" s="5" t="str">
        <f>TEXT(Data[[#This Row],[Date]],"yyyy")</f>
        <v>2021</v>
      </c>
      <c r="B43" s="5" t="str">
        <f>TEXT(Data[[#This Row],[Date]],"mmm")</f>
        <v>Feb</v>
      </c>
      <c r="C43" s="3">
        <v>44228</v>
      </c>
      <c r="D43" t="s">
        <v>104</v>
      </c>
      <c r="E43" t="s">
        <v>48</v>
      </c>
      <c r="F43" t="s">
        <v>70</v>
      </c>
      <c r="G43" s="1">
        <v>200</v>
      </c>
      <c r="I43" s="1">
        <f ca="1">IFERROR(OFFSET(Data[[#This Row],[Balance]],-1,0)+Data[[#This Row],[Actual Income]]-Data[[#This Row],[Actual Expense]], Data[[#This Row],[Actual Income]])</f>
        <v>-3472.11</v>
      </c>
      <c r="J43" s="1">
        <f>IF(Data[[#This Row],[Category]]="Savings or Investments", Data[[#This Row],[Actual Expense]],0)</f>
        <v>200</v>
      </c>
    </row>
    <row r="44" spans="1:10" x14ac:dyDescent="0.2">
      <c r="A44" s="5" t="str">
        <f>TEXT(Data[[#This Row],[Date]],"yyyy")</f>
        <v>2021</v>
      </c>
      <c r="B44" s="5" t="str">
        <f>TEXT(Data[[#This Row],[Date]],"mmm")</f>
        <v>Feb</v>
      </c>
      <c r="C44" s="3">
        <v>44228</v>
      </c>
      <c r="D44" t="s">
        <v>52</v>
      </c>
      <c r="E44" t="s">
        <v>42</v>
      </c>
      <c r="F44" t="s">
        <v>0</v>
      </c>
      <c r="G44" s="1">
        <v>700</v>
      </c>
      <c r="I44" s="1">
        <f ca="1">IFERROR(OFFSET(Data[[#This Row],[Balance]],-1,0)+Data[[#This Row],[Actual Income]]-Data[[#This Row],[Actual Expense]], Data[[#This Row],[Actual Income]])</f>
        <v>-4172.1100000000006</v>
      </c>
      <c r="J44" s="1">
        <f>IF(Data[[#This Row],[Category]]="Savings or Investments", Data[[#This Row],[Actual Expense]],0)</f>
        <v>0</v>
      </c>
    </row>
    <row r="45" spans="1:10" x14ac:dyDescent="0.2">
      <c r="A45" s="5" t="str">
        <f>TEXT(Data[[#This Row],[Date]],"yyyy")</f>
        <v>2021</v>
      </c>
      <c r="B45" s="5" t="str">
        <f>TEXT(Data[[#This Row],[Date]],"mmm")</f>
        <v>Feb</v>
      </c>
      <c r="C45" s="3">
        <v>44228</v>
      </c>
      <c r="D45" t="s">
        <v>103</v>
      </c>
      <c r="E45" t="s">
        <v>53</v>
      </c>
      <c r="F45" t="s">
        <v>11</v>
      </c>
      <c r="G45" s="1">
        <v>40</v>
      </c>
      <c r="I45" s="1">
        <f ca="1">IFERROR(OFFSET(Data[[#This Row],[Balance]],-1,0)+Data[[#This Row],[Actual Income]]-Data[[#This Row],[Actual Expense]], Data[[#This Row],[Actual Income]])</f>
        <v>-4212.1100000000006</v>
      </c>
      <c r="J45" s="1">
        <f>IF(Data[[#This Row],[Category]]="Savings or Investments", Data[[#This Row],[Actual Expense]],0)</f>
        <v>0</v>
      </c>
    </row>
    <row r="46" spans="1:10" x14ac:dyDescent="0.2">
      <c r="A46" s="5" t="str">
        <f>TEXT(Data[[#This Row],[Date]],"yyyy")</f>
        <v>2021</v>
      </c>
      <c r="B46" s="5" t="str">
        <f>TEXT(Data[[#This Row],[Date]],"mmm")</f>
        <v>Feb</v>
      </c>
      <c r="C46" s="3">
        <v>44229</v>
      </c>
      <c r="D46" t="s">
        <v>97</v>
      </c>
      <c r="E46" t="s">
        <v>48</v>
      </c>
      <c r="F46" t="s">
        <v>70</v>
      </c>
      <c r="G46" s="1">
        <v>150</v>
      </c>
      <c r="I46" s="1">
        <f ca="1">IFERROR(OFFSET(Data[[#This Row],[Balance]],-1,0)+Data[[#This Row],[Actual Income]]-Data[[#This Row],[Actual Expense]], Data[[#This Row],[Actual Income]])</f>
        <v>-4362.1100000000006</v>
      </c>
      <c r="J46" s="1">
        <f>IF(Data[[#This Row],[Category]]="Savings or Investments", Data[[#This Row],[Actual Expense]],0)</f>
        <v>150</v>
      </c>
    </row>
    <row r="47" spans="1:10" x14ac:dyDescent="0.2">
      <c r="A47" s="5" t="str">
        <f>TEXT(Data[[#This Row],[Date]],"yyyy")</f>
        <v>2021</v>
      </c>
      <c r="B47" s="5" t="str">
        <f>TEXT(Data[[#This Row],[Date]],"mmm")</f>
        <v>Feb</v>
      </c>
      <c r="C47" s="3">
        <v>44230</v>
      </c>
      <c r="D47" t="s">
        <v>59</v>
      </c>
      <c r="E47" t="s">
        <v>31</v>
      </c>
      <c r="F47" t="s">
        <v>55</v>
      </c>
      <c r="G47" s="1">
        <v>8.7100000000000009</v>
      </c>
      <c r="I47" s="1">
        <f ca="1">IFERROR(OFFSET(Data[[#This Row],[Balance]],-1,0)+Data[[#This Row],[Actual Income]]-Data[[#This Row],[Actual Expense]], Data[[#This Row],[Actual Income]])</f>
        <v>-4370.8200000000006</v>
      </c>
      <c r="J47" s="1">
        <f>IF(Data[[#This Row],[Category]]="Savings or Investments", Data[[#This Row],[Actual Expense]],0)</f>
        <v>0</v>
      </c>
    </row>
    <row r="48" spans="1:10" x14ac:dyDescent="0.2">
      <c r="A48" s="5" t="str">
        <f>TEXT(Data[[#This Row],[Date]],"yyyy")</f>
        <v>2021</v>
      </c>
      <c r="B48" s="5" t="str">
        <f>TEXT(Data[[#This Row],[Date]],"mmm")</f>
        <v>Feb</v>
      </c>
      <c r="C48" s="3">
        <v>44230</v>
      </c>
      <c r="D48" t="s">
        <v>64</v>
      </c>
      <c r="E48" t="s">
        <v>31</v>
      </c>
      <c r="F48" t="s">
        <v>30</v>
      </c>
      <c r="G48" s="1">
        <v>20.6</v>
      </c>
      <c r="I48" s="1">
        <f ca="1">IFERROR(OFFSET(Data[[#This Row],[Balance]],-1,0)+Data[[#This Row],[Actual Income]]-Data[[#This Row],[Actual Expense]], Data[[#This Row],[Actual Income]])</f>
        <v>-4391.420000000001</v>
      </c>
      <c r="J48" s="1">
        <f>IF(Data[[#This Row],[Category]]="Savings or Investments", Data[[#This Row],[Actual Expense]],0)</f>
        <v>0</v>
      </c>
    </row>
    <row r="49" spans="1:10" x14ac:dyDescent="0.2">
      <c r="A49" s="5" t="str">
        <f>TEXT(Data[[#This Row],[Date]],"yyyy")</f>
        <v>2021</v>
      </c>
      <c r="B49" s="5" t="str">
        <f>TEXT(Data[[#This Row],[Date]],"mmm")</f>
        <v>Feb</v>
      </c>
      <c r="C49" s="3">
        <v>44233</v>
      </c>
      <c r="D49" t="s">
        <v>152</v>
      </c>
      <c r="E49" t="s">
        <v>31</v>
      </c>
      <c r="F49" t="s">
        <v>55</v>
      </c>
      <c r="G49" s="1">
        <v>10.52</v>
      </c>
      <c r="I49" s="1">
        <f ca="1">IFERROR(OFFSET(Data[[#This Row],[Balance]],-1,0)+Data[[#This Row],[Actual Income]]-Data[[#This Row],[Actual Expense]], Data[[#This Row],[Actual Income]])</f>
        <v>-4401.9400000000014</v>
      </c>
      <c r="J49" s="1">
        <f>IF(Data[[#This Row],[Category]]="Savings or Investments", Data[[#This Row],[Actual Expense]],0)</f>
        <v>0</v>
      </c>
    </row>
    <row r="50" spans="1:10" x14ac:dyDescent="0.2">
      <c r="A50" s="5" t="str">
        <f>TEXT(Data[[#This Row],[Date]],"yyyy")</f>
        <v>2021</v>
      </c>
      <c r="B50" s="5" t="str">
        <f>TEXT(Data[[#This Row],[Date]],"mmm")</f>
        <v>Feb</v>
      </c>
      <c r="C50" s="3">
        <v>44235</v>
      </c>
      <c r="D50" t="s">
        <v>114</v>
      </c>
      <c r="E50" t="s">
        <v>48</v>
      </c>
      <c r="F50" t="s">
        <v>27</v>
      </c>
      <c r="G50" s="1">
        <v>500</v>
      </c>
      <c r="I50" s="1">
        <f ca="1">IFERROR(OFFSET(Data[[#This Row],[Balance]],-1,0)+Data[[#This Row],[Actual Income]]-Data[[#This Row],[Actual Expense]], Data[[#This Row],[Actual Income]])</f>
        <v>-4901.9400000000014</v>
      </c>
      <c r="J50" s="1">
        <f>IF(Data[[#This Row],[Category]]="Savings or Investments", Data[[#This Row],[Actual Expense]],0)</f>
        <v>500</v>
      </c>
    </row>
    <row r="51" spans="1:10" x14ac:dyDescent="0.2">
      <c r="A51" s="5" t="str">
        <f>TEXT(Data[[#This Row],[Date]],"yyyy")</f>
        <v>2021</v>
      </c>
      <c r="B51" s="5" t="str">
        <f>TEXT(Data[[#This Row],[Date]],"mmm")</f>
        <v>Feb</v>
      </c>
      <c r="C51" s="3">
        <v>44235</v>
      </c>
      <c r="D51" t="s">
        <v>59</v>
      </c>
      <c r="E51" t="s">
        <v>31</v>
      </c>
      <c r="F51" t="s">
        <v>55</v>
      </c>
      <c r="G51" s="1">
        <v>8.98</v>
      </c>
      <c r="I51" s="1">
        <f ca="1">IFERROR(OFFSET(Data[[#This Row],[Balance]],-1,0)+Data[[#This Row],[Actual Income]]-Data[[#This Row],[Actual Expense]], Data[[#This Row],[Actual Income]])</f>
        <v>-4910.920000000001</v>
      </c>
      <c r="J51" s="1">
        <f>IF(Data[[#This Row],[Category]]="Savings or Investments", Data[[#This Row],[Actual Expense]],0)</f>
        <v>0</v>
      </c>
    </row>
    <row r="52" spans="1:10" x14ac:dyDescent="0.2">
      <c r="A52" s="5" t="str">
        <f>TEXT(Data[[#This Row],[Date]],"yyyy")</f>
        <v>2021</v>
      </c>
      <c r="B52" s="5" t="str">
        <f>TEXT(Data[[#This Row],[Date]],"mmm")</f>
        <v>Feb</v>
      </c>
      <c r="C52" s="3">
        <v>44235</v>
      </c>
      <c r="D52" t="s">
        <v>71</v>
      </c>
      <c r="E52" t="s">
        <v>31</v>
      </c>
      <c r="F52" t="s">
        <v>30</v>
      </c>
      <c r="G52" s="1">
        <v>14</v>
      </c>
      <c r="I52" s="1">
        <f ca="1">IFERROR(OFFSET(Data[[#This Row],[Balance]],-1,0)+Data[[#This Row],[Actual Income]]-Data[[#This Row],[Actual Expense]], Data[[#This Row],[Actual Income]])</f>
        <v>-4924.920000000001</v>
      </c>
      <c r="J52" s="1">
        <f>IF(Data[[#This Row],[Category]]="Savings or Investments", Data[[#This Row],[Actual Expense]],0)</f>
        <v>0</v>
      </c>
    </row>
    <row r="53" spans="1:10" x14ac:dyDescent="0.2">
      <c r="A53" s="5" t="str">
        <f>TEXT(Data[[#This Row],[Date]],"yyyy")</f>
        <v>2021</v>
      </c>
      <c r="B53" s="5" t="str">
        <f>TEXT(Data[[#This Row],[Date]],"mmm")</f>
        <v>Feb</v>
      </c>
      <c r="C53" s="3">
        <v>44236</v>
      </c>
      <c r="D53" t="s">
        <v>59</v>
      </c>
      <c r="E53" t="s">
        <v>31</v>
      </c>
      <c r="F53" t="s">
        <v>55</v>
      </c>
      <c r="G53" s="1">
        <v>8.7100000000000009</v>
      </c>
      <c r="I53" s="1">
        <f ca="1">IFERROR(OFFSET(Data[[#This Row],[Balance]],-1,0)+Data[[#This Row],[Actual Income]]-Data[[#This Row],[Actual Expense]], Data[[#This Row],[Actual Income]])</f>
        <v>-4933.630000000001</v>
      </c>
      <c r="J53" s="1">
        <f>IF(Data[[#This Row],[Category]]="Savings or Investments", Data[[#This Row],[Actual Expense]],0)</f>
        <v>0</v>
      </c>
    </row>
    <row r="54" spans="1:10" x14ac:dyDescent="0.2">
      <c r="A54" s="5" t="str">
        <f>TEXT(Data[[#This Row],[Date]],"yyyy")</f>
        <v>2021</v>
      </c>
      <c r="B54" s="5" t="str">
        <f>TEXT(Data[[#This Row],[Date]],"mmm")</f>
        <v>Feb</v>
      </c>
      <c r="C54" s="3">
        <v>44236</v>
      </c>
      <c r="D54" t="s">
        <v>59</v>
      </c>
      <c r="E54" t="s">
        <v>31</v>
      </c>
      <c r="F54" t="s">
        <v>55</v>
      </c>
      <c r="G54" s="1">
        <v>10.61</v>
      </c>
      <c r="I54" s="1">
        <f ca="1">IFERROR(OFFSET(Data[[#This Row],[Balance]],-1,0)+Data[[#This Row],[Actual Income]]-Data[[#This Row],[Actual Expense]], Data[[#This Row],[Actual Income]])</f>
        <v>-4944.2400000000007</v>
      </c>
      <c r="J54" s="1">
        <f>IF(Data[[#This Row],[Category]]="Savings or Investments", Data[[#This Row],[Actual Expense]],0)</f>
        <v>0</v>
      </c>
    </row>
    <row r="55" spans="1:10" x14ac:dyDescent="0.2">
      <c r="A55" s="5" t="str">
        <f>TEXT(Data[[#This Row],[Date]],"yyyy")</f>
        <v>2021</v>
      </c>
      <c r="B55" s="5" t="str">
        <f>TEXT(Data[[#This Row],[Date]],"mmm")</f>
        <v>Feb</v>
      </c>
      <c r="C55" s="3">
        <v>44236</v>
      </c>
      <c r="D55" t="s">
        <v>151</v>
      </c>
      <c r="E55" t="s">
        <v>18</v>
      </c>
      <c r="F55" t="s">
        <v>25</v>
      </c>
      <c r="G55" s="1">
        <v>25</v>
      </c>
      <c r="I55" s="1">
        <f ca="1">IFERROR(OFFSET(Data[[#This Row],[Balance]],-1,0)+Data[[#This Row],[Actual Income]]-Data[[#This Row],[Actual Expense]], Data[[#This Row],[Actual Income]])</f>
        <v>-4969.2400000000007</v>
      </c>
      <c r="J55" s="1">
        <f>IF(Data[[#This Row],[Category]]="Savings or Investments", Data[[#This Row],[Actual Expense]],0)</f>
        <v>0</v>
      </c>
    </row>
    <row r="56" spans="1:10" x14ac:dyDescent="0.2">
      <c r="A56" s="5" t="str">
        <f>TEXT(Data[[#This Row],[Date]],"yyyy")</f>
        <v>2021</v>
      </c>
      <c r="B56" s="5" t="str">
        <f>TEXT(Data[[#This Row],[Date]],"mmm")</f>
        <v>Feb</v>
      </c>
      <c r="C56" s="3">
        <v>44236</v>
      </c>
      <c r="D56" t="s">
        <v>97</v>
      </c>
      <c r="E56" t="s">
        <v>48</v>
      </c>
      <c r="F56" t="s">
        <v>70</v>
      </c>
      <c r="G56" s="1">
        <v>150</v>
      </c>
      <c r="I56" s="1">
        <f ca="1">IFERROR(OFFSET(Data[[#This Row],[Balance]],-1,0)+Data[[#This Row],[Actual Income]]-Data[[#This Row],[Actual Expense]], Data[[#This Row],[Actual Income]])</f>
        <v>-5119.2400000000007</v>
      </c>
      <c r="J56" s="1">
        <f>IF(Data[[#This Row],[Category]]="Savings or Investments", Data[[#This Row],[Actual Expense]],0)</f>
        <v>150</v>
      </c>
    </row>
    <row r="57" spans="1:10" x14ac:dyDescent="0.2">
      <c r="A57" s="5" t="str">
        <f>TEXT(Data[[#This Row],[Date]],"yyyy")</f>
        <v>2021</v>
      </c>
      <c r="B57" s="5" t="str">
        <f>TEXT(Data[[#This Row],[Date]],"mmm")</f>
        <v>Feb</v>
      </c>
      <c r="C57" s="3">
        <v>44237</v>
      </c>
      <c r="D57" t="s">
        <v>54</v>
      </c>
      <c r="E57" t="s">
        <v>48</v>
      </c>
      <c r="F57" t="s">
        <v>70</v>
      </c>
      <c r="G57" s="1">
        <v>150</v>
      </c>
      <c r="I57" s="1">
        <f ca="1">IFERROR(OFFSET(Data[[#This Row],[Balance]],-1,0)+Data[[#This Row],[Actual Income]]-Data[[#This Row],[Actual Expense]], Data[[#This Row],[Actual Income]])</f>
        <v>-5269.2400000000007</v>
      </c>
      <c r="J57" s="1">
        <f>IF(Data[[#This Row],[Category]]="Savings or Investments", Data[[#This Row],[Actual Expense]],0)</f>
        <v>150</v>
      </c>
    </row>
    <row r="58" spans="1:10" x14ac:dyDescent="0.2">
      <c r="A58" s="5" t="str">
        <f>TEXT(Data[[#This Row],[Date]],"yyyy")</f>
        <v>2021</v>
      </c>
      <c r="B58" s="5" t="str">
        <f>TEXT(Data[[#This Row],[Date]],"mmm")</f>
        <v>Feb</v>
      </c>
      <c r="C58" s="3">
        <v>44237</v>
      </c>
      <c r="D58" t="s">
        <v>98</v>
      </c>
      <c r="E58" t="s">
        <v>44</v>
      </c>
      <c r="F58" t="s">
        <v>19</v>
      </c>
      <c r="G58" s="1">
        <v>28.27</v>
      </c>
      <c r="I58" s="1">
        <f ca="1">IFERROR(OFFSET(Data[[#This Row],[Balance]],-1,0)+Data[[#This Row],[Actual Income]]-Data[[#This Row],[Actual Expense]], Data[[#This Row],[Actual Income]])</f>
        <v>-5297.5100000000011</v>
      </c>
      <c r="J58" s="1">
        <f>IF(Data[[#This Row],[Category]]="Savings or Investments", Data[[#This Row],[Actual Expense]],0)</f>
        <v>0</v>
      </c>
    </row>
    <row r="59" spans="1:10" x14ac:dyDescent="0.2">
      <c r="A59" s="5" t="str">
        <f>TEXT(Data[[#This Row],[Date]],"yyyy")</f>
        <v>2021</v>
      </c>
      <c r="B59" s="5" t="str">
        <f>TEXT(Data[[#This Row],[Date]],"mmm")</f>
        <v>Feb</v>
      </c>
      <c r="C59" s="3">
        <v>44237</v>
      </c>
      <c r="D59" t="s">
        <v>153</v>
      </c>
      <c r="E59" t="s">
        <v>53</v>
      </c>
      <c r="F59" t="s">
        <v>80</v>
      </c>
      <c r="G59" s="1">
        <v>29.33</v>
      </c>
      <c r="I59" s="1">
        <f ca="1">IFERROR(OFFSET(Data[[#This Row],[Balance]],-1,0)+Data[[#This Row],[Actual Income]]-Data[[#This Row],[Actual Expense]], Data[[#This Row],[Actual Income]])</f>
        <v>-5326.8400000000011</v>
      </c>
      <c r="J59" s="1">
        <f>IF(Data[[#This Row],[Category]]="Savings or Investments", Data[[#This Row],[Actual Expense]],0)</f>
        <v>0</v>
      </c>
    </row>
    <row r="60" spans="1:10" x14ac:dyDescent="0.2">
      <c r="A60" s="5" t="str">
        <f>TEXT(Data[[#This Row],[Date]],"yyyy")</f>
        <v>2021</v>
      </c>
      <c r="B60" s="5" t="str">
        <f>TEXT(Data[[#This Row],[Date]],"mmm")</f>
        <v>Feb</v>
      </c>
      <c r="C60" s="3">
        <v>44238</v>
      </c>
      <c r="D60" t="s">
        <v>95</v>
      </c>
      <c r="E60" t="s">
        <v>31</v>
      </c>
      <c r="F60" t="s">
        <v>30</v>
      </c>
      <c r="G60" s="1">
        <v>34.630000000000003</v>
      </c>
      <c r="I60" s="1">
        <f ca="1">IFERROR(OFFSET(Data[[#This Row],[Balance]],-1,0)+Data[[#This Row],[Actual Income]]-Data[[#This Row],[Actual Expense]], Data[[#This Row],[Actual Income]])</f>
        <v>-5361.4700000000012</v>
      </c>
      <c r="J60" s="1">
        <f>IF(Data[[#This Row],[Category]]="Savings or Investments", Data[[#This Row],[Actual Expense]],0)</f>
        <v>0</v>
      </c>
    </row>
    <row r="61" spans="1:10" x14ac:dyDescent="0.2">
      <c r="A61" s="5" t="str">
        <f>TEXT(Data[[#This Row],[Date]],"yyyy")</f>
        <v>2021</v>
      </c>
      <c r="B61" s="5" t="str">
        <f>TEXT(Data[[#This Row],[Date]],"mmm")</f>
        <v>Feb</v>
      </c>
      <c r="C61" s="3">
        <v>44238</v>
      </c>
      <c r="D61" t="s">
        <v>66</v>
      </c>
      <c r="E61" t="s">
        <v>31</v>
      </c>
      <c r="F61" t="s">
        <v>29</v>
      </c>
      <c r="G61" s="1">
        <v>7.98</v>
      </c>
      <c r="I61" s="1">
        <f ca="1">IFERROR(OFFSET(Data[[#This Row],[Balance]],-1,0)+Data[[#This Row],[Actual Income]]-Data[[#This Row],[Actual Expense]], Data[[#This Row],[Actual Income]])</f>
        <v>-5369.4500000000007</v>
      </c>
      <c r="J61" s="1">
        <f>IF(Data[[#This Row],[Category]]="Savings or Investments", Data[[#This Row],[Actual Expense]],0)</f>
        <v>0</v>
      </c>
    </row>
    <row r="62" spans="1:10" x14ac:dyDescent="0.2">
      <c r="A62" s="5" t="str">
        <f>TEXT(Data[[#This Row],[Date]],"yyyy")</f>
        <v>2021</v>
      </c>
      <c r="B62" s="5" t="str">
        <f>TEXT(Data[[#This Row],[Date]],"mmm")</f>
        <v>Feb</v>
      </c>
      <c r="C62" s="3">
        <v>44239</v>
      </c>
      <c r="D62" t="s">
        <v>157</v>
      </c>
      <c r="E62" t="s">
        <v>49</v>
      </c>
      <c r="F62" t="s">
        <v>154</v>
      </c>
      <c r="G62" s="1">
        <v>50</v>
      </c>
      <c r="I62" s="1">
        <f ca="1">IFERROR(OFFSET(Data[[#This Row],[Balance]],-1,0)+Data[[#This Row],[Actual Income]]-Data[[#This Row],[Actual Expense]], Data[[#This Row],[Actual Income]])</f>
        <v>-5419.4500000000007</v>
      </c>
      <c r="J62" s="1">
        <f>IF(Data[[#This Row],[Category]]="Savings or Investments", Data[[#This Row],[Actual Expense]],0)</f>
        <v>0</v>
      </c>
    </row>
    <row r="63" spans="1:10" x14ac:dyDescent="0.2">
      <c r="A63" s="5" t="str">
        <f>TEXT(Data[[#This Row],[Date]],"yyyy")</f>
        <v>2021</v>
      </c>
      <c r="B63" s="5" t="str">
        <f>TEXT(Data[[#This Row],[Date]],"mmm")</f>
        <v>Feb</v>
      </c>
      <c r="C63" s="3">
        <v>44239</v>
      </c>
      <c r="D63" t="s">
        <v>59</v>
      </c>
      <c r="E63" t="s">
        <v>31</v>
      </c>
      <c r="F63" t="s">
        <v>55</v>
      </c>
      <c r="G63" s="1">
        <v>9.42</v>
      </c>
      <c r="I63" s="1">
        <f ca="1">IFERROR(OFFSET(Data[[#This Row],[Balance]],-1,0)+Data[[#This Row],[Actual Income]]-Data[[#This Row],[Actual Expense]], Data[[#This Row],[Actual Income]])</f>
        <v>-5428.8700000000008</v>
      </c>
      <c r="J63" s="1">
        <f>IF(Data[[#This Row],[Category]]="Savings or Investments", Data[[#This Row],[Actual Expense]],0)</f>
        <v>0</v>
      </c>
    </row>
    <row r="64" spans="1:10" x14ac:dyDescent="0.2">
      <c r="A64" s="5" t="str">
        <f>TEXT(Data[[#This Row],[Date]],"yyyy")</f>
        <v>2021</v>
      </c>
      <c r="B64" s="5" t="str">
        <f>TEXT(Data[[#This Row],[Date]],"mmm")</f>
        <v>Feb</v>
      </c>
      <c r="C64" s="3">
        <v>44239</v>
      </c>
      <c r="D64" t="s">
        <v>83</v>
      </c>
      <c r="E64" t="s">
        <v>81</v>
      </c>
      <c r="F64" t="s">
        <v>174</v>
      </c>
      <c r="G64" s="1"/>
      <c r="H64">
        <v>1782.83</v>
      </c>
      <c r="I64" s="1">
        <f ca="1">IFERROR(OFFSET(Data[[#This Row],[Balance]],-1,0)+Data[[#This Row],[Actual Income]]-Data[[#This Row],[Actual Expense]], Data[[#This Row],[Actual Income]])</f>
        <v>-3646.0400000000009</v>
      </c>
      <c r="J64" s="1">
        <f>IF(Data[[#This Row],[Category]]="Savings or Investments", Data[[#This Row],[Actual Expense]],0)</f>
        <v>0</v>
      </c>
    </row>
    <row r="65" spans="1:10" x14ac:dyDescent="0.2">
      <c r="A65" s="5" t="str">
        <f>TEXT(Data[[#This Row],[Date]],"yyyy")</f>
        <v>2021</v>
      </c>
      <c r="B65" s="5" t="str">
        <f>TEXT(Data[[#This Row],[Date]],"mmm")</f>
        <v>Feb</v>
      </c>
      <c r="C65" s="3">
        <v>44241</v>
      </c>
      <c r="D65" t="s">
        <v>99</v>
      </c>
      <c r="E65" t="s">
        <v>47</v>
      </c>
      <c r="F65" t="s">
        <v>195</v>
      </c>
      <c r="G65" s="1">
        <v>12.75</v>
      </c>
      <c r="I65" s="1">
        <f ca="1">IFERROR(OFFSET(Data[[#This Row],[Balance]],-1,0)+Data[[#This Row],[Actual Income]]-Data[[#This Row],[Actual Expense]], Data[[#This Row],[Actual Income]])</f>
        <v>-3658.7900000000009</v>
      </c>
      <c r="J65" s="1">
        <f>IF(Data[[#This Row],[Category]]="Savings or Investments", Data[[#This Row],[Actual Expense]],0)</f>
        <v>0</v>
      </c>
    </row>
    <row r="66" spans="1:10" x14ac:dyDescent="0.2">
      <c r="A66" s="5" t="str">
        <f>TEXT(Data[[#This Row],[Date]],"yyyy")</f>
        <v>2021</v>
      </c>
      <c r="B66" s="5" t="str">
        <f>TEXT(Data[[#This Row],[Date]],"mmm")</f>
        <v>Feb</v>
      </c>
      <c r="C66" s="3">
        <v>44242</v>
      </c>
      <c r="D66" t="s">
        <v>160</v>
      </c>
      <c r="E66" t="s">
        <v>31</v>
      </c>
      <c r="F66" t="s">
        <v>55</v>
      </c>
      <c r="G66" s="1">
        <v>12.01</v>
      </c>
      <c r="I66" s="1">
        <f ca="1">IFERROR(OFFSET(Data[[#This Row],[Balance]],-1,0)+Data[[#This Row],[Actual Income]]-Data[[#This Row],[Actual Expense]], Data[[#This Row],[Actual Income]])</f>
        <v>-3670.8000000000011</v>
      </c>
      <c r="J66" s="1">
        <f>IF(Data[[#This Row],[Category]]="Savings or Investments", Data[[#This Row],[Actual Expense]],0)</f>
        <v>0</v>
      </c>
    </row>
    <row r="67" spans="1:10" x14ac:dyDescent="0.2">
      <c r="A67" s="5" t="str">
        <f>TEXT(Data[[#This Row],[Date]],"yyyy")</f>
        <v>2021</v>
      </c>
      <c r="B67" s="5" t="str">
        <f>TEXT(Data[[#This Row],[Date]],"mmm")</f>
        <v>Feb</v>
      </c>
      <c r="C67" s="3">
        <v>44242</v>
      </c>
      <c r="D67" t="s">
        <v>160</v>
      </c>
      <c r="E67" t="s">
        <v>31</v>
      </c>
      <c r="F67" t="s">
        <v>55</v>
      </c>
      <c r="G67" s="1">
        <v>18.010000000000002</v>
      </c>
      <c r="I67" s="1">
        <f ca="1">IFERROR(OFFSET(Data[[#This Row],[Balance]],-1,0)+Data[[#This Row],[Actual Income]]-Data[[#This Row],[Actual Expense]], Data[[#This Row],[Actual Income]])</f>
        <v>-3688.8100000000013</v>
      </c>
      <c r="J67" s="1">
        <f>IF(Data[[#This Row],[Category]]="Savings or Investments", Data[[#This Row],[Actual Expense]],0)</f>
        <v>0</v>
      </c>
    </row>
    <row r="68" spans="1:10" x14ac:dyDescent="0.2">
      <c r="A68" s="5" t="str">
        <f>TEXT(Data[[#This Row],[Date]],"yyyy")</f>
        <v>2021</v>
      </c>
      <c r="B68" s="5" t="str">
        <f>TEXT(Data[[#This Row],[Date]],"mmm")</f>
        <v>Feb</v>
      </c>
      <c r="C68" s="3">
        <v>44244</v>
      </c>
      <c r="D68" t="s">
        <v>97</v>
      </c>
      <c r="E68" t="s">
        <v>48</v>
      </c>
      <c r="F68" t="s">
        <v>70</v>
      </c>
      <c r="G68" s="1">
        <v>150</v>
      </c>
      <c r="I68" s="1">
        <f ca="1">IFERROR(OFFSET(Data[[#This Row],[Balance]],-1,0)+Data[[#This Row],[Actual Income]]-Data[[#This Row],[Actual Expense]], Data[[#This Row],[Actual Income]])</f>
        <v>-3838.8100000000013</v>
      </c>
      <c r="J68" s="1">
        <f>IF(Data[[#This Row],[Category]]="Savings or Investments", Data[[#This Row],[Actual Expense]],0)</f>
        <v>150</v>
      </c>
    </row>
    <row r="69" spans="1:10" x14ac:dyDescent="0.2">
      <c r="A69" s="5" t="str">
        <f>TEXT(Data[[#This Row],[Date]],"yyyy")</f>
        <v>2021</v>
      </c>
      <c r="B69" s="5" t="str">
        <f>TEXT(Data[[#This Row],[Date]],"mmm")</f>
        <v>Feb</v>
      </c>
      <c r="C69" s="3">
        <v>44244</v>
      </c>
      <c r="D69" t="s">
        <v>54</v>
      </c>
      <c r="E69" t="s">
        <v>48</v>
      </c>
      <c r="F69" t="s">
        <v>70</v>
      </c>
      <c r="G69" s="1">
        <v>150</v>
      </c>
      <c r="I69" s="1">
        <f ca="1">IFERROR(OFFSET(Data[[#This Row],[Balance]],-1,0)+Data[[#This Row],[Actual Income]]-Data[[#This Row],[Actual Expense]], Data[[#This Row],[Actual Income]])</f>
        <v>-3988.8100000000013</v>
      </c>
      <c r="J69" s="1">
        <f>IF(Data[[#This Row],[Category]]="Savings or Investments", Data[[#This Row],[Actual Expense]],0)</f>
        <v>150</v>
      </c>
    </row>
    <row r="70" spans="1:10" x14ac:dyDescent="0.2">
      <c r="A70" s="5" t="str">
        <f>TEXT(Data[[#This Row],[Date]],"yyyy")</f>
        <v>2021</v>
      </c>
      <c r="B70" s="5" t="str">
        <f>TEXT(Data[[#This Row],[Date]],"mmm")</f>
        <v>Feb</v>
      </c>
      <c r="C70" s="3">
        <v>44244</v>
      </c>
      <c r="D70" t="s">
        <v>162</v>
      </c>
      <c r="E70" t="s">
        <v>31</v>
      </c>
      <c r="F70" t="s">
        <v>55</v>
      </c>
      <c r="G70" s="1">
        <v>6</v>
      </c>
      <c r="I70" s="1">
        <f ca="1">IFERROR(OFFSET(Data[[#This Row],[Balance]],-1,0)+Data[[#This Row],[Actual Income]]-Data[[#This Row],[Actual Expense]], Data[[#This Row],[Actual Income]])</f>
        <v>-3994.8100000000013</v>
      </c>
      <c r="J70" s="1">
        <f>IF(Data[[#This Row],[Category]]="Savings or Investments", Data[[#This Row],[Actual Expense]],0)</f>
        <v>0</v>
      </c>
    </row>
    <row r="71" spans="1:10" x14ac:dyDescent="0.2">
      <c r="A71" s="5" t="str">
        <f>TEXT(Data[[#This Row],[Date]],"yyyy")</f>
        <v>2021</v>
      </c>
      <c r="B71" s="5" t="str">
        <f>TEXT(Data[[#This Row],[Date]],"mmm")</f>
        <v>Feb</v>
      </c>
      <c r="C71" s="3">
        <v>44245</v>
      </c>
      <c r="D71" t="s">
        <v>59</v>
      </c>
      <c r="E71" t="s">
        <v>31</v>
      </c>
      <c r="F71" t="s">
        <v>55</v>
      </c>
      <c r="G71" s="1">
        <v>10.39</v>
      </c>
      <c r="I71" s="1">
        <f ca="1">IFERROR(OFFSET(Data[[#This Row],[Balance]],-1,0)+Data[[#This Row],[Actual Income]]-Data[[#This Row],[Actual Expense]], Data[[#This Row],[Actual Income]])</f>
        <v>-4005.2000000000012</v>
      </c>
      <c r="J71" s="1">
        <f>IF(Data[[#This Row],[Category]]="Savings or Investments", Data[[#This Row],[Actual Expense]],0)</f>
        <v>0</v>
      </c>
    </row>
    <row r="72" spans="1:10" x14ac:dyDescent="0.2">
      <c r="A72" s="5" t="str">
        <f>TEXT(Data[[#This Row],[Date]],"yyyy")</f>
        <v>2021</v>
      </c>
      <c r="B72" s="5" t="str">
        <f>TEXT(Data[[#This Row],[Date]],"mmm")</f>
        <v>Feb</v>
      </c>
      <c r="C72" s="3">
        <v>44246</v>
      </c>
      <c r="D72" t="s">
        <v>66</v>
      </c>
      <c r="E72" t="s">
        <v>31</v>
      </c>
      <c r="F72" t="s">
        <v>29</v>
      </c>
      <c r="G72" s="1">
        <v>13.09</v>
      </c>
      <c r="I72" s="1">
        <f ca="1">IFERROR(OFFSET(Data[[#This Row],[Balance]],-1,0)+Data[[#This Row],[Actual Income]]-Data[[#This Row],[Actual Expense]], Data[[#This Row],[Actual Income]])</f>
        <v>-4018.2900000000013</v>
      </c>
      <c r="J72" s="1">
        <f>IF(Data[[#This Row],[Category]]="Savings or Investments", Data[[#This Row],[Actual Expense]],0)</f>
        <v>0</v>
      </c>
    </row>
    <row r="73" spans="1:10" x14ac:dyDescent="0.2">
      <c r="A73" s="5" t="str">
        <f>TEXT(Data[[#This Row],[Date]],"yyyy")</f>
        <v>2021</v>
      </c>
      <c r="B73" s="5" t="str">
        <f>TEXT(Data[[#This Row],[Date]],"mmm")</f>
        <v>Feb</v>
      </c>
      <c r="C73" s="3">
        <v>44249</v>
      </c>
      <c r="D73" t="s">
        <v>164</v>
      </c>
      <c r="E73" t="s">
        <v>44</v>
      </c>
      <c r="F73" t="s">
        <v>19</v>
      </c>
      <c r="G73" s="1">
        <v>26.33</v>
      </c>
      <c r="I73" s="1">
        <f ca="1">IFERROR(OFFSET(Data[[#This Row],[Balance]],-1,0)+Data[[#This Row],[Actual Income]]-Data[[#This Row],[Actual Expense]], Data[[#This Row],[Actual Income]])</f>
        <v>-4044.6200000000013</v>
      </c>
      <c r="J73" s="1">
        <f>IF(Data[[#This Row],[Category]]="Savings or Investments", Data[[#This Row],[Actual Expense]],0)</f>
        <v>0</v>
      </c>
    </row>
    <row r="74" spans="1:10" x14ac:dyDescent="0.2">
      <c r="A74" s="5" t="str">
        <f>TEXT(Data[[#This Row],[Date]],"yyyy")</f>
        <v>2021</v>
      </c>
      <c r="B74" s="5" t="str">
        <f>TEXT(Data[[#This Row],[Date]],"mmm")</f>
        <v>Feb</v>
      </c>
      <c r="C74" s="3">
        <v>44249</v>
      </c>
      <c r="D74" t="s">
        <v>161</v>
      </c>
      <c r="E74" t="s">
        <v>51</v>
      </c>
      <c r="F74" t="s">
        <v>38</v>
      </c>
      <c r="G74" s="1">
        <v>53</v>
      </c>
      <c r="I74" s="1">
        <f ca="1">IFERROR(OFFSET(Data[[#This Row],[Balance]],-1,0)+Data[[#This Row],[Actual Income]]-Data[[#This Row],[Actual Expense]], Data[[#This Row],[Actual Income]])</f>
        <v>-4097.6200000000008</v>
      </c>
      <c r="J74" s="1">
        <f>IF(Data[[#This Row],[Category]]="Savings or Investments", Data[[#This Row],[Actual Expense]],0)</f>
        <v>0</v>
      </c>
    </row>
    <row r="75" spans="1:10" x14ac:dyDescent="0.2">
      <c r="A75" s="5" t="str">
        <f>TEXT(Data[[#This Row],[Date]],"yyyy")</f>
        <v>2021</v>
      </c>
      <c r="B75" s="5" t="str">
        <f>TEXT(Data[[#This Row],[Date]],"mmm")</f>
        <v>Feb</v>
      </c>
      <c r="C75" s="3">
        <v>44250</v>
      </c>
      <c r="D75" t="s">
        <v>59</v>
      </c>
      <c r="E75" t="s">
        <v>31</v>
      </c>
      <c r="F75" t="s">
        <v>55</v>
      </c>
      <c r="G75" s="1">
        <v>21.11</v>
      </c>
      <c r="I75" s="1">
        <f ca="1">IFERROR(OFFSET(Data[[#This Row],[Balance]],-1,0)+Data[[#This Row],[Actual Income]]-Data[[#This Row],[Actual Expense]], Data[[#This Row],[Actual Income]])</f>
        <v>-4118.7300000000005</v>
      </c>
      <c r="J75" s="1">
        <f>IF(Data[[#This Row],[Category]]="Savings or Investments", Data[[#This Row],[Actual Expense]],0)</f>
        <v>0</v>
      </c>
    </row>
    <row r="76" spans="1:10" x14ac:dyDescent="0.2">
      <c r="A76" s="5" t="str">
        <f>TEXT(Data[[#This Row],[Date]],"yyyy")</f>
        <v>2021</v>
      </c>
      <c r="B76" s="5" t="str">
        <f>TEXT(Data[[#This Row],[Date]],"mmm")</f>
        <v>Feb</v>
      </c>
      <c r="C76" s="3">
        <v>44250</v>
      </c>
      <c r="D76" t="s">
        <v>97</v>
      </c>
      <c r="E76" t="s">
        <v>48</v>
      </c>
      <c r="F76" t="s">
        <v>70</v>
      </c>
      <c r="G76" s="1">
        <v>150</v>
      </c>
      <c r="I76" s="1">
        <f ca="1">IFERROR(OFFSET(Data[[#This Row],[Balance]],-1,0)+Data[[#This Row],[Actual Income]]-Data[[#This Row],[Actual Expense]], Data[[#This Row],[Actual Income]])</f>
        <v>-4268.7300000000005</v>
      </c>
      <c r="J76" s="1">
        <f>IF(Data[[#This Row],[Category]]="Savings or Investments", Data[[#This Row],[Actual Expense]],0)</f>
        <v>150</v>
      </c>
    </row>
    <row r="77" spans="1:10" x14ac:dyDescent="0.2">
      <c r="A77" s="5" t="str">
        <f>TEXT(Data[[#This Row],[Date]],"yyyy")</f>
        <v>2021</v>
      </c>
      <c r="B77" s="5" t="str">
        <f>TEXT(Data[[#This Row],[Date]],"mmm")</f>
        <v>Feb</v>
      </c>
      <c r="C77" s="3">
        <v>44251</v>
      </c>
      <c r="D77" t="s">
        <v>165</v>
      </c>
      <c r="E77" t="s">
        <v>31</v>
      </c>
      <c r="F77" t="s">
        <v>55</v>
      </c>
      <c r="G77" s="1">
        <v>5</v>
      </c>
      <c r="I77" s="1">
        <f ca="1">IFERROR(OFFSET(Data[[#This Row],[Balance]],-1,0)+Data[[#This Row],[Actual Income]]-Data[[#This Row],[Actual Expense]], Data[[#This Row],[Actual Income]])</f>
        <v>-4273.7300000000005</v>
      </c>
      <c r="J77" s="1">
        <f>IF(Data[[#This Row],[Category]]="Savings or Investments", Data[[#This Row],[Actual Expense]],0)</f>
        <v>0</v>
      </c>
    </row>
    <row r="78" spans="1:10" x14ac:dyDescent="0.2">
      <c r="A78" s="5" t="str">
        <f>TEXT(Data[[#This Row],[Date]],"yyyy")</f>
        <v>2021</v>
      </c>
      <c r="B78" s="5" t="str">
        <f>TEXT(Data[[#This Row],[Date]],"mmm")</f>
        <v>Feb</v>
      </c>
      <c r="C78" s="3">
        <v>44251</v>
      </c>
      <c r="D78" t="s">
        <v>96</v>
      </c>
      <c r="E78" t="s">
        <v>31</v>
      </c>
      <c r="F78" t="s">
        <v>30</v>
      </c>
      <c r="G78" s="1">
        <v>23</v>
      </c>
      <c r="I78" s="1">
        <f ca="1">IFERROR(OFFSET(Data[[#This Row],[Balance]],-1,0)+Data[[#This Row],[Actual Income]]-Data[[#This Row],[Actual Expense]], Data[[#This Row],[Actual Income]])</f>
        <v>-4296.7300000000005</v>
      </c>
      <c r="J78" s="1">
        <f>IF(Data[[#This Row],[Category]]="Savings or Investments", Data[[#This Row],[Actual Expense]],0)</f>
        <v>0</v>
      </c>
    </row>
    <row r="79" spans="1:10" x14ac:dyDescent="0.2">
      <c r="A79" s="5" t="str">
        <f>TEXT(Data[[#This Row],[Date]],"yyyy")</f>
        <v>2021</v>
      </c>
      <c r="B79" s="5" t="str">
        <f>TEXT(Data[[#This Row],[Date]],"mmm")</f>
        <v>Feb</v>
      </c>
      <c r="C79" s="3">
        <v>44252</v>
      </c>
      <c r="D79" t="s">
        <v>54</v>
      </c>
      <c r="E79" t="s">
        <v>48</v>
      </c>
      <c r="F79" t="s">
        <v>70</v>
      </c>
      <c r="G79" s="1">
        <v>150</v>
      </c>
      <c r="I79" s="1">
        <f ca="1">IFERROR(OFFSET(Data[[#This Row],[Balance]],-1,0)+Data[[#This Row],[Actual Income]]-Data[[#This Row],[Actual Expense]], Data[[#This Row],[Actual Income]])</f>
        <v>-4446.7300000000005</v>
      </c>
      <c r="J79" s="1">
        <f>IF(Data[[#This Row],[Category]]="Savings or Investments", Data[[#This Row],[Actual Expense]],0)</f>
        <v>150</v>
      </c>
    </row>
    <row r="80" spans="1:10" x14ac:dyDescent="0.2">
      <c r="A80" s="5" t="str">
        <f>TEXT(Data[[#This Row],[Date]],"yyyy")</f>
        <v>2021</v>
      </c>
      <c r="B80" s="5" t="str">
        <f>TEXT(Data[[#This Row],[Date]],"mmm")</f>
        <v>Feb</v>
      </c>
      <c r="C80" s="3">
        <v>44253</v>
      </c>
      <c r="D80" t="s">
        <v>59</v>
      </c>
      <c r="E80" t="s">
        <v>31</v>
      </c>
      <c r="F80" t="s">
        <v>55</v>
      </c>
      <c r="G80" s="1">
        <v>5.74</v>
      </c>
      <c r="I80" s="1">
        <f ca="1">IFERROR(OFFSET(Data[[#This Row],[Balance]],-1,0)+Data[[#This Row],[Actual Income]]-Data[[#This Row],[Actual Expense]], Data[[#This Row],[Actual Income]])</f>
        <v>-4452.47</v>
      </c>
      <c r="J80" s="1">
        <f>IF(Data[[#This Row],[Category]]="Savings or Investments", Data[[#This Row],[Actual Expense]],0)</f>
        <v>0</v>
      </c>
    </row>
    <row r="81" spans="1:10" x14ac:dyDescent="0.2">
      <c r="A81" s="5" t="str">
        <f>TEXT(Data[[#This Row],[Date]],"yyyy")</f>
        <v>2021</v>
      </c>
      <c r="B81" s="5" t="str">
        <f>TEXT(Data[[#This Row],[Date]],"mmm")</f>
        <v>Feb</v>
      </c>
      <c r="C81" s="3">
        <v>44253</v>
      </c>
      <c r="D81" t="s">
        <v>83</v>
      </c>
      <c r="E81" t="s">
        <v>81</v>
      </c>
      <c r="F81" t="s">
        <v>174</v>
      </c>
      <c r="G81" s="1"/>
      <c r="H81" s="1">
        <v>1862.45</v>
      </c>
      <c r="I81" s="1">
        <f ca="1">IFERROR(OFFSET(Data[[#This Row],[Balance]],-1,0)+Data[[#This Row],[Actual Income]]-Data[[#This Row],[Actual Expense]], Data[[#This Row],[Actual Income]])</f>
        <v>-2590.0200000000004</v>
      </c>
      <c r="J81" s="1">
        <f>IF(Data[[#This Row],[Category]]="Savings or Investments", Data[[#This Row],[Actual Expense]],0)</f>
        <v>0</v>
      </c>
    </row>
    <row r="82" spans="1:10" x14ac:dyDescent="0.2">
      <c r="A82" s="5" t="str">
        <f>TEXT(Data[[#This Row],[Date]],"yyyy")</f>
        <v>2021</v>
      </c>
      <c r="B82" s="5" t="str">
        <f>TEXT(Data[[#This Row],[Date]],"mmm")</f>
        <v>Feb</v>
      </c>
      <c r="C82" s="3">
        <v>44255</v>
      </c>
      <c r="D82" t="s">
        <v>114</v>
      </c>
      <c r="E82" t="s">
        <v>48</v>
      </c>
      <c r="F82" t="s">
        <v>28</v>
      </c>
      <c r="G82" s="1">
        <v>500</v>
      </c>
      <c r="I82" s="1">
        <f ca="1">IFERROR(OFFSET(Data[[#This Row],[Balance]],-1,0)+Data[[#This Row],[Actual Income]]-Data[[#This Row],[Actual Expense]], Data[[#This Row],[Actual Income]])</f>
        <v>-3090.0200000000004</v>
      </c>
      <c r="J82" s="1">
        <f>IF(Data[[#This Row],[Category]]="Savings or Investments", Data[[#This Row],[Actual Expense]],0)</f>
        <v>500</v>
      </c>
    </row>
    <row r="83" spans="1:10" x14ac:dyDescent="0.2">
      <c r="A83" s="5" t="str">
        <f>TEXT(Data[[#This Row],[Date]],"yyyy")</f>
        <v>2021</v>
      </c>
      <c r="B83" s="5" t="str">
        <f>TEXT(Data[[#This Row],[Date]],"mmm")</f>
        <v>Mar</v>
      </c>
      <c r="C83" s="3">
        <v>44256</v>
      </c>
      <c r="D83" t="s">
        <v>59</v>
      </c>
      <c r="E83" t="s">
        <v>31</v>
      </c>
      <c r="F83" t="s">
        <v>55</v>
      </c>
      <c r="G83" s="1">
        <v>10.07</v>
      </c>
      <c r="I83" s="1">
        <f ca="1">IFERROR(OFFSET(Data[[#This Row],[Balance]],-1,0)+Data[[#This Row],[Actual Income]]-Data[[#This Row],[Actual Expense]], Data[[#This Row],[Actual Income]])</f>
        <v>-3100.0900000000006</v>
      </c>
      <c r="J83" s="1">
        <f>IF(Data[[#This Row],[Category]]="Savings or Investments", Data[[#This Row],[Actual Expense]],0)</f>
        <v>0</v>
      </c>
    </row>
    <row r="84" spans="1:10" x14ac:dyDescent="0.2">
      <c r="A84" s="5" t="str">
        <f>TEXT(Data[[#This Row],[Date]],"yyyy")</f>
        <v>2021</v>
      </c>
      <c r="B84" s="5" t="str">
        <f>TEXT(Data[[#This Row],[Date]],"mmm")</f>
        <v>Mar</v>
      </c>
      <c r="C84" s="3">
        <v>44256</v>
      </c>
      <c r="D84" t="s">
        <v>168</v>
      </c>
      <c r="E84" t="s">
        <v>51</v>
      </c>
      <c r="F84" t="s">
        <v>163</v>
      </c>
      <c r="G84" s="1">
        <v>260</v>
      </c>
      <c r="I84" s="1">
        <f ca="1">IFERROR(OFFSET(Data[[#This Row],[Balance]],-1,0)+Data[[#This Row],[Actual Income]]-Data[[#This Row],[Actual Expense]], Data[[#This Row],[Actual Income]])</f>
        <v>-3360.0900000000006</v>
      </c>
      <c r="J84" s="1">
        <f>IF(Data[[#This Row],[Category]]="Savings or Investments", Data[[#This Row],[Actual Expense]],0)</f>
        <v>0</v>
      </c>
    </row>
    <row r="85" spans="1:10" x14ac:dyDescent="0.2">
      <c r="A85" s="5" t="str">
        <f>TEXT(Data[[#This Row],[Date]],"yyyy")</f>
        <v>2021</v>
      </c>
      <c r="B85" s="5" t="str">
        <f>TEXT(Data[[#This Row],[Date]],"mmm")</f>
        <v>Mar</v>
      </c>
      <c r="C85" s="3">
        <v>44256</v>
      </c>
      <c r="D85" t="s">
        <v>52</v>
      </c>
      <c r="E85" t="s">
        <v>42</v>
      </c>
      <c r="F85" t="s">
        <v>0</v>
      </c>
      <c r="G85" s="1">
        <v>700</v>
      </c>
      <c r="I85" s="1">
        <f ca="1">IFERROR(OFFSET(Data[[#This Row],[Balance]],-1,0)+Data[[#This Row],[Actual Income]]-Data[[#This Row],[Actual Expense]], Data[[#This Row],[Actual Income]])</f>
        <v>-4060.0900000000006</v>
      </c>
      <c r="J85" s="1">
        <f>IF(Data[[#This Row],[Category]]="Savings or Investments", Data[[#This Row],[Actual Expense]],0)</f>
        <v>0</v>
      </c>
    </row>
    <row r="86" spans="1:10" x14ac:dyDescent="0.2">
      <c r="A86" s="5" t="str">
        <f>TEXT(Data[[#This Row],[Date]],"yyyy")</f>
        <v>2021</v>
      </c>
      <c r="B86" s="5" t="str">
        <f>TEXT(Data[[#This Row],[Date]],"mmm")</f>
        <v>Mar</v>
      </c>
      <c r="C86" s="3">
        <v>44257</v>
      </c>
      <c r="D86" t="s">
        <v>97</v>
      </c>
      <c r="E86" t="s">
        <v>48</v>
      </c>
      <c r="F86" t="s">
        <v>70</v>
      </c>
      <c r="G86" s="1">
        <v>150</v>
      </c>
      <c r="I86" s="1">
        <f ca="1">IFERROR(OFFSET(Data[[#This Row],[Balance]],-1,0)+Data[[#This Row],[Actual Income]]-Data[[#This Row],[Actual Expense]], Data[[#This Row],[Actual Income]])</f>
        <v>-4210.09</v>
      </c>
      <c r="J86" s="1">
        <f>IF(Data[[#This Row],[Category]]="Savings or Investments", Data[[#This Row],[Actual Expense]],0)</f>
        <v>150</v>
      </c>
    </row>
    <row r="87" spans="1:10" x14ac:dyDescent="0.2">
      <c r="A87" s="5" t="str">
        <f>TEXT(Data[[#This Row],[Date]],"yyyy")</f>
        <v>2021</v>
      </c>
      <c r="B87" s="5" t="str">
        <f>TEXT(Data[[#This Row],[Date]],"mmm")</f>
        <v>Mar</v>
      </c>
      <c r="C87" s="3">
        <v>44257</v>
      </c>
      <c r="D87" t="s">
        <v>114</v>
      </c>
      <c r="E87" t="s">
        <v>48</v>
      </c>
      <c r="F87" t="s">
        <v>28</v>
      </c>
      <c r="G87" s="1">
        <v>500</v>
      </c>
      <c r="I87" s="1">
        <f ca="1">IFERROR(OFFSET(Data[[#This Row],[Balance]],-1,0)+Data[[#This Row],[Actual Income]]-Data[[#This Row],[Actual Expense]], Data[[#This Row],[Actual Income]])</f>
        <v>-4710.09</v>
      </c>
      <c r="J87" s="1">
        <f>IF(Data[[#This Row],[Category]]="Savings or Investments", Data[[#This Row],[Actual Expense]],0)</f>
        <v>500</v>
      </c>
    </row>
    <row r="88" spans="1:10" x14ac:dyDescent="0.2">
      <c r="A88" s="5" t="str">
        <f>TEXT(Data[[#This Row],[Date]],"yyyy")</f>
        <v>2021</v>
      </c>
      <c r="B88" s="5" t="str">
        <f>TEXT(Data[[#This Row],[Date]],"mmm")</f>
        <v>Mar</v>
      </c>
      <c r="C88" s="3">
        <v>44257</v>
      </c>
      <c r="D88" t="s">
        <v>114</v>
      </c>
      <c r="E88" t="s">
        <v>48</v>
      </c>
      <c r="F88" t="s">
        <v>27</v>
      </c>
      <c r="G88" s="1">
        <v>500</v>
      </c>
      <c r="I88" s="1">
        <f ca="1">IFERROR(OFFSET(Data[[#This Row],[Balance]],-1,0)+Data[[#This Row],[Actual Income]]-Data[[#This Row],[Actual Expense]], Data[[#This Row],[Actual Income]])</f>
        <v>-5210.09</v>
      </c>
      <c r="J88" s="1">
        <f>IF(Data[[#This Row],[Category]]="Savings or Investments", Data[[#This Row],[Actual Expense]],0)</f>
        <v>500</v>
      </c>
    </row>
    <row r="89" spans="1:10" x14ac:dyDescent="0.2">
      <c r="A89" s="5" t="str">
        <f>TEXT(Data[[#This Row],[Date]],"yyyy")</f>
        <v>2021</v>
      </c>
      <c r="B89" s="5" t="str">
        <f>TEXT(Data[[#This Row],[Date]],"mmm")</f>
        <v>Mar</v>
      </c>
      <c r="C89" s="3">
        <v>44257</v>
      </c>
      <c r="D89" t="s">
        <v>166</v>
      </c>
      <c r="E89" t="s">
        <v>46</v>
      </c>
      <c r="F89" t="s">
        <v>167</v>
      </c>
      <c r="G89" s="1">
        <v>74.62</v>
      </c>
      <c r="I89" s="1">
        <f ca="1">IFERROR(OFFSET(Data[[#This Row],[Balance]],-1,0)+Data[[#This Row],[Actual Income]]-Data[[#This Row],[Actual Expense]], Data[[#This Row],[Actual Income]])</f>
        <v>-5284.71</v>
      </c>
      <c r="J89" s="1">
        <f>IF(Data[[#This Row],[Category]]="Savings or Investments", Data[[#This Row],[Actual Expense]],0)</f>
        <v>0</v>
      </c>
    </row>
    <row r="90" spans="1:10" x14ac:dyDescent="0.2">
      <c r="A90" s="5" t="str">
        <f>TEXT(Data[[#This Row],[Date]],"yyyy")</f>
        <v>2021</v>
      </c>
      <c r="B90" s="5" t="str">
        <f>TEXT(Data[[#This Row],[Date]],"mmm")</f>
        <v>Mar</v>
      </c>
      <c r="C90" s="3">
        <v>44258</v>
      </c>
      <c r="D90" t="s">
        <v>54</v>
      </c>
      <c r="E90" t="s">
        <v>48</v>
      </c>
      <c r="F90" t="s">
        <v>70</v>
      </c>
      <c r="G90" s="1">
        <v>150</v>
      </c>
      <c r="I90" s="1">
        <f ca="1">IFERROR(OFFSET(Data[[#This Row],[Balance]],-1,0)+Data[[#This Row],[Actual Income]]-Data[[#This Row],[Actual Expense]], Data[[#This Row],[Actual Income]])</f>
        <v>-5434.71</v>
      </c>
      <c r="J90" s="1">
        <f>IF(Data[[#This Row],[Category]]="Savings or Investments", Data[[#This Row],[Actual Expense]],0)</f>
        <v>150</v>
      </c>
    </row>
    <row r="91" spans="1:10" x14ac:dyDescent="0.2">
      <c r="A91" s="5" t="str">
        <f>TEXT(Data[[#This Row],[Date]],"yyyy")</f>
        <v>2021</v>
      </c>
      <c r="B91" s="5" t="str">
        <f>TEXT(Data[[#This Row],[Date]],"mmm")</f>
        <v>Mar</v>
      </c>
      <c r="C91" s="3">
        <v>44258</v>
      </c>
      <c r="D91" t="s">
        <v>59</v>
      </c>
      <c r="E91" t="s">
        <v>31</v>
      </c>
      <c r="F91" t="s">
        <v>55</v>
      </c>
      <c r="G91" s="1">
        <v>9.74</v>
      </c>
      <c r="I91" s="1">
        <f ca="1">IFERROR(OFFSET(Data[[#This Row],[Balance]],-1,0)+Data[[#This Row],[Actual Income]]-Data[[#This Row],[Actual Expense]], Data[[#This Row],[Actual Income]])</f>
        <v>-5444.45</v>
      </c>
      <c r="J91" s="1">
        <f>IF(Data[[#This Row],[Category]]="Savings or Investments", Data[[#This Row],[Actual Expense]],0)</f>
        <v>0</v>
      </c>
    </row>
    <row r="92" spans="1:10" x14ac:dyDescent="0.2">
      <c r="A92" s="5" t="str">
        <f>TEXT(Data[[#This Row],[Date]],"yyyy")</f>
        <v>2021</v>
      </c>
      <c r="B92" s="5" t="str">
        <f>TEXT(Data[[#This Row],[Date]],"mmm")</f>
        <v>Mar</v>
      </c>
      <c r="C92" s="3">
        <v>44260</v>
      </c>
      <c r="D92" t="s">
        <v>169</v>
      </c>
      <c r="E92" t="s">
        <v>31</v>
      </c>
      <c r="F92" t="s">
        <v>30</v>
      </c>
      <c r="G92" s="1">
        <v>9</v>
      </c>
      <c r="I92" s="1">
        <f ca="1">IFERROR(OFFSET(Data[[#This Row],[Balance]],-1,0)+Data[[#This Row],[Actual Income]]-Data[[#This Row],[Actual Expense]], Data[[#This Row],[Actual Income]])</f>
        <v>-5453.45</v>
      </c>
      <c r="J92" s="1">
        <f>IF(Data[[#This Row],[Category]]="Savings or Investments", Data[[#This Row],[Actual Expense]],0)</f>
        <v>0</v>
      </c>
    </row>
    <row r="93" spans="1:10" x14ac:dyDescent="0.2">
      <c r="A93" s="5" t="str">
        <f>TEXT(Data[[#This Row],[Date]],"yyyy")</f>
        <v>2021</v>
      </c>
      <c r="B93" s="5" t="str">
        <f>TEXT(Data[[#This Row],[Date]],"mmm")</f>
        <v>Mar</v>
      </c>
      <c r="C93" s="3">
        <v>44263</v>
      </c>
      <c r="D93" t="s">
        <v>59</v>
      </c>
      <c r="E93" t="s">
        <v>31</v>
      </c>
      <c r="F93" t="s">
        <v>55</v>
      </c>
      <c r="G93" s="1">
        <v>10.61</v>
      </c>
      <c r="I93" s="1">
        <f ca="1">IFERROR(OFFSET(Data[[#This Row],[Balance]],-1,0)+Data[[#This Row],[Actual Income]]-Data[[#This Row],[Actual Expense]], Data[[#This Row],[Actual Income]])</f>
        <v>-5464.0599999999995</v>
      </c>
      <c r="J93" s="1">
        <f>IF(Data[[#This Row],[Category]]="Savings or Investments", Data[[#This Row],[Actual Expense]],0)</f>
        <v>0</v>
      </c>
    </row>
    <row r="94" spans="1:10" x14ac:dyDescent="0.2">
      <c r="A94" s="5" t="str">
        <f>TEXT(Data[[#This Row],[Date]],"yyyy")</f>
        <v>2021</v>
      </c>
      <c r="B94" s="5" t="str">
        <f>TEXT(Data[[#This Row],[Date]],"mmm")</f>
        <v>Mar</v>
      </c>
      <c r="C94" s="3">
        <v>44263</v>
      </c>
      <c r="D94" t="s">
        <v>66</v>
      </c>
      <c r="E94" t="s">
        <v>31</v>
      </c>
      <c r="F94" t="s">
        <v>29</v>
      </c>
      <c r="G94" s="1">
        <v>7.01</v>
      </c>
      <c r="I94" s="1">
        <f ca="1">IFERROR(OFFSET(Data[[#This Row],[Balance]],-1,0)+Data[[#This Row],[Actual Income]]-Data[[#This Row],[Actual Expense]], Data[[#This Row],[Actual Income]])</f>
        <v>-5471.07</v>
      </c>
      <c r="J94" s="1">
        <f>IF(Data[[#This Row],[Category]]="Savings or Investments", Data[[#This Row],[Actual Expense]],0)</f>
        <v>0</v>
      </c>
    </row>
    <row r="95" spans="1:10" x14ac:dyDescent="0.2">
      <c r="A95" s="5" t="str">
        <f>TEXT(Data[[#This Row],[Date]],"yyyy")</f>
        <v>2021</v>
      </c>
      <c r="B95" s="5" t="str">
        <f>TEXT(Data[[#This Row],[Date]],"mmm")</f>
        <v>Mar</v>
      </c>
      <c r="C95" s="3">
        <v>44263</v>
      </c>
      <c r="D95" t="s">
        <v>59</v>
      </c>
      <c r="E95" t="s">
        <v>31</v>
      </c>
      <c r="F95" t="s">
        <v>55</v>
      </c>
      <c r="G95" s="1">
        <v>11</v>
      </c>
      <c r="I95" s="1">
        <f ca="1">IFERROR(OFFSET(Data[[#This Row],[Balance]],-1,0)+Data[[#This Row],[Actual Income]]-Data[[#This Row],[Actual Expense]], Data[[#This Row],[Actual Income]])</f>
        <v>-5482.07</v>
      </c>
      <c r="J95" s="1">
        <f>IF(Data[[#This Row],[Category]]="Savings or Investments", Data[[#This Row],[Actual Expense]],0)</f>
        <v>0</v>
      </c>
    </row>
    <row r="96" spans="1:10" x14ac:dyDescent="0.2">
      <c r="A96" s="5" t="str">
        <f>TEXT(Data[[#This Row],[Date]],"yyyy")</f>
        <v>2021</v>
      </c>
      <c r="B96" s="5" t="str">
        <f>TEXT(Data[[#This Row],[Date]],"mmm")</f>
        <v>Mar</v>
      </c>
      <c r="C96" s="3">
        <v>44263</v>
      </c>
      <c r="D96" t="s">
        <v>170</v>
      </c>
      <c r="E96" t="s">
        <v>44</v>
      </c>
      <c r="F96" t="s">
        <v>19</v>
      </c>
      <c r="G96" s="1">
        <v>32.56</v>
      </c>
      <c r="I96" s="1">
        <f ca="1">IFERROR(OFFSET(Data[[#This Row],[Balance]],-1,0)+Data[[#This Row],[Actual Income]]-Data[[#This Row],[Actual Expense]], Data[[#This Row],[Actual Income]])</f>
        <v>-5514.63</v>
      </c>
      <c r="J96" s="1">
        <f>IF(Data[[#This Row],[Category]]="Savings or Investments", Data[[#This Row],[Actual Expense]],0)</f>
        <v>0</v>
      </c>
    </row>
    <row r="97" spans="1:10" x14ac:dyDescent="0.2">
      <c r="A97" s="5" t="str">
        <f>TEXT(Data[[#This Row],[Date]],"yyyy")</f>
        <v>2021</v>
      </c>
      <c r="B97" s="5" t="str">
        <f>TEXT(Data[[#This Row],[Date]],"mmm")</f>
        <v>Mar</v>
      </c>
      <c r="C97" s="3">
        <v>44263</v>
      </c>
      <c r="D97" t="s">
        <v>173</v>
      </c>
      <c r="E97" t="s">
        <v>81</v>
      </c>
      <c r="F97" t="s">
        <v>175</v>
      </c>
      <c r="G97" s="1"/>
      <c r="H97">
        <v>485.1</v>
      </c>
      <c r="I97" s="1">
        <f ca="1">IFERROR(OFFSET(Data[[#This Row],[Balance]],-1,0)+Data[[#This Row],[Actual Income]]-Data[[#This Row],[Actual Expense]], Data[[#This Row],[Actual Income]])</f>
        <v>-5029.53</v>
      </c>
      <c r="J97" s="1">
        <f>IF(Data[[#This Row],[Category]]="Savings or Investments", Data[[#This Row],[Actual Expense]],0)</f>
        <v>0</v>
      </c>
    </row>
    <row r="98" spans="1:10" x14ac:dyDescent="0.2">
      <c r="A98" s="5" t="str">
        <f>TEXT(Data[[#This Row],[Date]],"yyyy")</f>
        <v>2021</v>
      </c>
      <c r="B98" s="5" t="str">
        <f>TEXT(Data[[#This Row],[Date]],"mmm")</f>
        <v>Mar</v>
      </c>
      <c r="C98" s="3">
        <v>44264</v>
      </c>
      <c r="D98" t="s">
        <v>172</v>
      </c>
      <c r="E98" t="s">
        <v>48</v>
      </c>
      <c r="F98" t="s">
        <v>70</v>
      </c>
      <c r="G98" s="1">
        <v>150</v>
      </c>
      <c r="I98" s="1">
        <f ca="1">IFERROR(OFFSET(Data[[#This Row],[Balance]],-1,0)+Data[[#This Row],[Actual Income]]-Data[[#This Row],[Actual Expense]], Data[[#This Row],[Actual Income]])</f>
        <v>-5179.53</v>
      </c>
      <c r="J98" s="1">
        <f>IF(Data[[#This Row],[Category]]="Savings or Investments", Data[[#This Row],[Actual Expense]],0)</f>
        <v>150</v>
      </c>
    </row>
    <row r="99" spans="1:10" x14ac:dyDescent="0.2">
      <c r="A99" s="5" t="str">
        <f>TEXT(Data[[#This Row],[Date]],"yyyy")</f>
        <v>2021</v>
      </c>
      <c r="B99" s="5" t="str">
        <f>TEXT(Data[[#This Row],[Date]],"mmm")</f>
        <v>Mar</v>
      </c>
      <c r="C99" s="3">
        <v>44265</v>
      </c>
      <c r="D99" t="s">
        <v>59</v>
      </c>
      <c r="E99" t="s">
        <v>31</v>
      </c>
      <c r="F99" t="s">
        <v>55</v>
      </c>
      <c r="G99" s="1">
        <v>21.11</v>
      </c>
      <c r="I99" s="1">
        <f ca="1">IFERROR(OFFSET(Data[[#This Row],[Balance]],-1,0)+Data[[#This Row],[Actual Income]]-Data[[#This Row],[Actual Expense]], Data[[#This Row],[Actual Income]])</f>
        <v>-5200.6399999999994</v>
      </c>
      <c r="J99" s="1">
        <f>IF(Data[[#This Row],[Category]]="Savings or Investments", Data[[#This Row],[Actual Expense]],0)</f>
        <v>0</v>
      </c>
    </row>
    <row r="100" spans="1:10" x14ac:dyDescent="0.2">
      <c r="A100" s="5" t="str">
        <f>TEXT(Data[[#This Row],[Date]],"yyyy")</f>
        <v>2021</v>
      </c>
      <c r="B100" s="5" t="str">
        <f>TEXT(Data[[#This Row],[Date]],"mmm")</f>
        <v>Mar</v>
      </c>
      <c r="C100" s="3">
        <v>44265</v>
      </c>
      <c r="D100" t="s">
        <v>172</v>
      </c>
      <c r="E100" t="s">
        <v>48</v>
      </c>
      <c r="F100" t="s">
        <v>70</v>
      </c>
      <c r="G100" s="1">
        <v>150</v>
      </c>
      <c r="I100" s="1">
        <f ca="1">IFERROR(OFFSET(Data[[#This Row],[Balance]],-1,0)+Data[[#This Row],[Actual Income]]-Data[[#This Row],[Actual Expense]], Data[[#This Row],[Actual Income]])</f>
        <v>-5350.6399999999994</v>
      </c>
      <c r="J100" s="1">
        <f>IF(Data[[#This Row],[Category]]="Savings or Investments", Data[[#This Row],[Actual Expense]],0)</f>
        <v>150</v>
      </c>
    </row>
    <row r="101" spans="1:10" x14ac:dyDescent="0.2">
      <c r="A101" s="5" t="str">
        <f>TEXT(Data[[#This Row],[Date]],"yyyy")</f>
        <v>2021</v>
      </c>
      <c r="B101" s="5" t="str">
        <f>TEXT(Data[[#This Row],[Date]],"mmm")</f>
        <v>Mar</v>
      </c>
      <c r="C101" s="3">
        <v>44267</v>
      </c>
      <c r="D101" t="s">
        <v>68</v>
      </c>
      <c r="E101" t="s">
        <v>31</v>
      </c>
      <c r="F101" t="s">
        <v>30</v>
      </c>
      <c r="G101" s="1">
        <v>10.37</v>
      </c>
      <c r="I101" s="1">
        <f ca="1">IFERROR(OFFSET(Data[[#This Row],[Balance]],-1,0)+Data[[#This Row],[Actual Income]]-Data[[#This Row],[Actual Expense]], Data[[#This Row],[Actual Income]])</f>
        <v>-5361.0099999999993</v>
      </c>
      <c r="J101" s="1">
        <f>IF(Data[[#This Row],[Category]]="Savings or Investments", Data[[#This Row],[Actual Expense]],0)</f>
        <v>0</v>
      </c>
    </row>
    <row r="102" spans="1:10" x14ac:dyDescent="0.2">
      <c r="A102" s="5" t="str">
        <f>TEXT(Data[[#This Row],[Date]],"yyyy")</f>
        <v>2021</v>
      </c>
      <c r="B102" s="5" t="str">
        <f>TEXT(Data[[#This Row],[Date]],"mmm")</f>
        <v>Mar</v>
      </c>
      <c r="C102" s="3">
        <v>44267</v>
      </c>
      <c r="D102" t="s">
        <v>83</v>
      </c>
      <c r="E102" t="s">
        <v>81</v>
      </c>
      <c r="F102" t="s">
        <v>174</v>
      </c>
      <c r="G102" s="1"/>
      <c r="H102" s="1">
        <v>1862.44</v>
      </c>
      <c r="I102" s="1">
        <f ca="1">IFERROR(OFFSET(Data[[#This Row],[Balance]],-1,0)+Data[[#This Row],[Actual Income]]-Data[[#This Row],[Actual Expense]], Data[[#This Row],[Actual Income]])</f>
        <v>-3498.5699999999993</v>
      </c>
      <c r="J102" s="1">
        <f>IF(Data[[#This Row],[Category]]="Savings or Investments", Data[[#This Row],[Actual Expense]],0)</f>
        <v>0</v>
      </c>
    </row>
    <row r="103" spans="1:10" x14ac:dyDescent="0.2">
      <c r="A103" s="5" t="str">
        <f>TEXT(Data[[#This Row],[Date]],"yyyy")</f>
        <v>2021</v>
      </c>
      <c r="B103" s="5" t="str">
        <f>TEXT(Data[[#This Row],[Date]],"mmm")</f>
        <v>Mar</v>
      </c>
      <c r="C103" s="3">
        <v>44269</v>
      </c>
      <c r="D103" t="s">
        <v>171</v>
      </c>
      <c r="E103" t="s">
        <v>31</v>
      </c>
      <c r="F103" t="s">
        <v>55</v>
      </c>
      <c r="G103" s="1">
        <v>5.6</v>
      </c>
      <c r="I103" s="1">
        <f ca="1">IFERROR(OFFSET(Data[[#This Row],[Balance]],-1,0)+Data[[#This Row],[Actual Income]]-Data[[#This Row],[Actual Expense]], Data[[#This Row],[Actual Income]])</f>
        <v>-3504.1699999999992</v>
      </c>
      <c r="J103" s="1">
        <f>IF(Data[[#This Row],[Category]]="Savings or Investments", Data[[#This Row],[Actual Expense]],0)</f>
        <v>0</v>
      </c>
    </row>
    <row r="104" spans="1:10" x14ac:dyDescent="0.2">
      <c r="A104" s="5" t="str">
        <f>TEXT(Data[[#This Row],[Date]],"yyyy")</f>
        <v>2021</v>
      </c>
      <c r="B104" s="5" t="str">
        <f>TEXT(Data[[#This Row],[Date]],"mmm")</f>
        <v>Mar</v>
      </c>
      <c r="C104" s="3">
        <v>44270</v>
      </c>
      <c r="D104" t="s">
        <v>171</v>
      </c>
      <c r="E104" t="s">
        <v>31</v>
      </c>
      <c r="F104" t="s">
        <v>55</v>
      </c>
      <c r="G104" s="1">
        <v>6.84</v>
      </c>
      <c r="I104" s="1">
        <f ca="1">IFERROR(OFFSET(Data[[#This Row],[Balance]],-1,0)+Data[[#This Row],[Actual Income]]-Data[[#This Row],[Actual Expense]], Data[[#This Row],[Actual Income]])</f>
        <v>-3511.0099999999993</v>
      </c>
      <c r="J104" s="1">
        <f>IF(Data[[#This Row],[Category]]="Savings or Investments", Data[[#This Row],[Actual Expense]],0)</f>
        <v>0</v>
      </c>
    </row>
    <row r="105" spans="1:10" x14ac:dyDescent="0.2">
      <c r="A105" s="5" t="str">
        <f>TEXT(Data[[#This Row],[Date]],"yyyy")</f>
        <v>2021</v>
      </c>
      <c r="B105" s="5" t="str">
        <f>TEXT(Data[[#This Row],[Date]],"mmm")</f>
        <v>Mar</v>
      </c>
      <c r="C105" s="3">
        <v>44270</v>
      </c>
      <c r="D105" t="s">
        <v>59</v>
      </c>
      <c r="E105" t="s">
        <v>31</v>
      </c>
      <c r="F105" t="s">
        <v>55</v>
      </c>
      <c r="G105" s="1">
        <v>21</v>
      </c>
      <c r="I105" s="1">
        <f ca="1">IFERROR(OFFSET(Data[[#This Row],[Balance]],-1,0)+Data[[#This Row],[Actual Income]]-Data[[#This Row],[Actual Expense]], Data[[#This Row],[Actual Income]])</f>
        <v>-3532.0099999999993</v>
      </c>
      <c r="J105" s="1">
        <f>IF(Data[[#This Row],[Category]]="Savings or Investments", Data[[#This Row],[Actual Expense]],0)</f>
        <v>0</v>
      </c>
    </row>
    <row r="106" spans="1:10" x14ac:dyDescent="0.2">
      <c r="A106" s="5" t="str">
        <f>TEXT(Data[[#This Row],[Date]],"yyyy")</f>
        <v>2021</v>
      </c>
      <c r="B106" s="5" t="str">
        <f>TEXT(Data[[#This Row],[Date]],"mmm")</f>
        <v>Mar</v>
      </c>
      <c r="C106" s="3">
        <v>44271</v>
      </c>
      <c r="D106" t="s">
        <v>181</v>
      </c>
      <c r="E106" t="s">
        <v>31</v>
      </c>
      <c r="F106" t="s">
        <v>30</v>
      </c>
      <c r="G106" s="1">
        <v>35.21</v>
      </c>
      <c r="I106" s="1">
        <f ca="1">IFERROR(OFFSET(Data[[#This Row],[Balance]],-1,0)+Data[[#This Row],[Actual Income]]-Data[[#This Row],[Actual Expense]], Data[[#This Row],[Actual Income]])</f>
        <v>-3567.2199999999993</v>
      </c>
      <c r="J106" s="1">
        <f>IF(Data[[#This Row],[Category]]="Savings or Investments", Data[[#This Row],[Actual Expense]],0)</f>
        <v>0</v>
      </c>
    </row>
    <row r="107" spans="1:10" x14ac:dyDescent="0.2">
      <c r="A107" s="5" t="str">
        <f>TEXT(Data[[#This Row],[Date]],"yyyy")</f>
        <v>2021</v>
      </c>
      <c r="B107" s="5" t="str">
        <f>TEXT(Data[[#This Row],[Date]],"mmm")</f>
        <v>Mar</v>
      </c>
      <c r="C107" s="3">
        <v>44271</v>
      </c>
      <c r="D107" t="s">
        <v>172</v>
      </c>
      <c r="E107" t="s">
        <v>48</v>
      </c>
      <c r="F107" t="s">
        <v>70</v>
      </c>
      <c r="G107" s="1">
        <v>150</v>
      </c>
      <c r="I107" s="1">
        <f ca="1">IFERROR(OFFSET(Data[[#This Row],[Balance]],-1,0)+Data[[#This Row],[Actual Income]]-Data[[#This Row],[Actual Expense]], Data[[#This Row],[Actual Income]])</f>
        <v>-3717.2199999999993</v>
      </c>
      <c r="J107" s="1">
        <f>IF(Data[[#This Row],[Category]]="Savings or Investments", Data[[#This Row],[Actual Expense]],0)</f>
        <v>150</v>
      </c>
    </row>
    <row r="108" spans="1:10" x14ac:dyDescent="0.2">
      <c r="A108" s="5" t="str">
        <f>TEXT(Data[[#This Row],[Date]],"yyyy")</f>
        <v>2021</v>
      </c>
      <c r="B108" s="5" t="str">
        <f>TEXT(Data[[#This Row],[Date]],"mmm")</f>
        <v>Mar</v>
      </c>
      <c r="C108" s="3">
        <v>44272</v>
      </c>
      <c r="D108" t="s">
        <v>172</v>
      </c>
      <c r="E108" t="s">
        <v>48</v>
      </c>
      <c r="F108" t="s">
        <v>70</v>
      </c>
      <c r="G108" s="1">
        <v>150</v>
      </c>
      <c r="I108" s="1">
        <f ca="1">IFERROR(OFFSET(Data[[#This Row],[Balance]],-1,0)+Data[[#This Row],[Actual Income]]-Data[[#This Row],[Actual Expense]], Data[[#This Row],[Actual Income]])</f>
        <v>-3867.2199999999993</v>
      </c>
      <c r="J108" s="1">
        <f>IF(Data[[#This Row],[Category]]="Savings or Investments", Data[[#This Row],[Actual Expense]],0)</f>
        <v>150</v>
      </c>
    </row>
    <row r="109" spans="1:10" x14ac:dyDescent="0.2">
      <c r="A109" s="5" t="str">
        <f>TEXT(Data[[#This Row],[Date]],"yyyy")</f>
        <v>2021</v>
      </c>
      <c r="B109" s="5" t="str">
        <f>TEXT(Data[[#This Row],[Date]],"mmm")</f>
        <v>Mar</v>
      </c>
      <c r="C109" s="3">
        <v>44272</v>
      </c>
      <c r="D109" t="s">
        <v>114</v>
      </c>
      <c r="E109" t="s">
        <v>48</v>
      </c>
      <c r="F109" t="s">
        <v>28</v>
      </c>
      <c r="G109" s="1">
        <v>500</v>
      </c>
      <c r="I109" s="1">
        <f ca="1">IFERROR(OFFSET(Data[[#This Row],[Balance]],-1,0)+Data[[#This Row],[Actual Income]]-Data[[#This Row],[Actual Expense]], Data[[#This Row],[Actual Income]])</f>
        <v>-4367.2199999999993</v>
      </c>
      <c r="J109" s="1">
        <f>IF(Data[[#This Row],[Category]]="Savings or Investments", Data[[#This Row],[Actual Expense]],0)</f>
        <v>500</v>
      </c>
    </row>
    <row r="110" spans="1:10" x14ac:dyDescent="0.2">
      <c r="A110" s="5" t="str">
        <f>TEXT(Data[[#This Row],[Date]],"yyyy")</f>
        <v>2021</v>
      </c>
      <c r="B110" s="5" t="str">
        <f>TEXT(Data[[#This Row],[Date]],"mmm")</f>
        <v>Mar</v>
      </c>
      <c r="C110" s="3">
        <v>44272</v>
      </c>
      <c r="D110" t="s">
        <v>182</v>
      </c>
      <c r="E110" t="s">
        <v>31</v>
      </c>
      <c r="F110" t="s">
        <v>55</v>
      </c>
      <c r="G110" s="1">
        <v>5.68</v>
      </c>
      <c r="I110" s="1">
        <f ca="1">IFERROR(OFFSET(Data[[#This Row],[Balance]],-1,0)+Data[[#This Row],[Actual Income]]-Data[[#This Row],[Actual Expense]], Data[[#This Row],[Actual Income]])</f>
        <v>-4372.8999999999996</v>
      </c>
      <c r="J110" s="1">
        <f>IF(Data[[#This Row],[Category]]="Savings or Investments", Data[[#This Row],[Actual Expense]],0)</f>
        <v>0</v>
      </c>
    </row>
    <row r="111" spans="1:10" x14ac:dyDescent="0.2">
      <c r="A111" s="5" t="str">
        <f>TEXT(Data[[#This Row],[Date]],"yyyy")</f>
        <v>2021</v>
      </c>
      <c r="B111" s="5" t="str">
        <f>TEXT(Data[[#This Row],[Date]],"mmm")</f>
        <v>Mar</v>
      </c>
      <c r="C111" s="3">
        <v>44272</v>
      </c>
      <c r="D111" t="s">
        <v>59</v>
      </c>
      <c r="E111" t="s">
        <v>31</v>
      </c>
      <c r="F111" t="s">
        <v>55</v>
      </c>
      <c r="G111" s="1">
        <v>11.11</v>
      </c>
      <c r="I111" s="1">
        <f ca="1">IFERROR(OFFSET(Data[[#This Row],[Balance]],-1,0)+Data[[#This Row],[Actual Income]]-Data[[#This Row],[Actual Expense]], Data[[#This Row],[Actual Income]])</f>
        <v>-4384.0099999999993</v>
      </c>
      <c r="J111" s="1">
        <f>IF(Data[[#This Row],[Category]]="Savings or Investments", Data[[#This Row],[Actual Expense]],0)</f>
        <v>0</v>
      </c>
    </row>
    <row r="112" spans="1:10" x14ac:dyDescent="0.2">
      <c r="A112" s="5" t="str">
        <f>TEXT(Data[[#This Row],[Date]],"yyyy")</f>
        <v>2021</v>
      </c>
      <c r="B112" s="5" t="str">
        <f>TEXT(Data[[#This Row],[Date]],"mmm")</f>
        <v>Mar</v>
      </c>
      <c r="C112" s="3">
        <v>44273</v>
      </c>
      <c r="D112" t="s">
        <v>183</v>
      </c>
      <c r="E112" t="s">
        <v>31</v>
      </c>
      <c r="F112" t="s">
        <v>30</v>
      </c>
      <c r="G112" s="1">
        <v>9</v>
      </c>
      <c r="I112" s="1">
        <f ca="1">IFERROR(OFFSET(Data[[#This Row],[Balance]],-1,0)+Data[[#This Row],[Actual Income]]-Data[[#This Row],[Actual Expense]], Data[[#This Row],[Actual Income]])</f>
        <v>-4393.0099999999993</v>
      </c>
      <c r="J112" s="1">
        <f>IF(Data[[#This Row],[Category]]="Savings or Investments", Data[[#This Row],[Actual Expense]],0)</f>
        <v>0</v>
      </c>
    </row>
    <row r="113" spans="1:10" x14ac:dyDescent="0.2">
      <c r="A113" s="5" t="str">
        <f>TEXT(Data[[#This Row],[Date]],"yyyy")</f>
        <v>2021</v>
      </c>
      <c r="B113" s="5" t="str">
        <f>TEXT(Data[[#This Row],[Date]],"mmm")</f>
        <v>Mar</v>
      </c>
      <c r="C113" s="3">
        <v>44273</v>
      </c>
      <c r="D113" t="s">
        <v>176</v>
      </c>
      <c r="E113" t="s">
        <v>81</v>
      </c>
      <c r="F113" t="s">
        <v>176</v>
      </c>
      <c r="G113" s="1"/>
      <c r="H113">
        <v>1400</v>
      </c>
      <c r="I113" s="1">
        <f ca="1">IFERROR(OFFSET(Data[[#This Row],[Balance]],-1,0)+Data[[#This Row],[Actual Income]]-Data[[#This Row],[Actual Expense]], Data[[#This Row],[Actual Income]])</f>
        <v>-2993.0099999999993</v>
      </c>
      <c r="J113" s="1">
        <f>IF(Data[[#This Row],[Category]]="Savings or Investments", Data[[#This Row],[Actual Expense]],0)</f>
        <v>0</v>
      </c>
    </row>
    <row r="114" spans="1:10" x14ac:dyDescent="0.2">
      <c r="A114" s="5" t="str">
        <f>TEXT(Data[[#This Row],[Date]],"yyyy")</f>
        <v>2021</v>
      </c>
      <c r="B114" s="5" t="str">
        <f>TEXT(Data[[#This Row],[Date]],"mmm")</f>
        <v>Mar</v>
      </c>
      <c r="C114" s="3">
        <v>44274</v>
      </c>
      <c r="D114" t="s">
        <v>59</v>
      </c>
      <c r="E114" t="s">
        <v>31</v>
      </c>
      <c r="F114" t="s">
        <v>55</v>
      </c>
      <c r="G114" s="1">
        <v>13.59</v>
      </c>
      <c r="I114" s="1">
        <f ca="1">IFERROR(OFFSET(Data[[#This Row],[Balance]],-1,0)+Data[[#This Row],[Actual Income]]-Data[[#This Row],[Actual Expense]], Data[[#This Row],[Actual Income]])</f>
        <v>-3006.5999999999995</v>
      </c>
      <c r="J114" s="1">
        <f>IF(Data[[#This Row],[Category]]="Savings or Investments", Data[[#This Row],[Actual Expense]],0)</f>
        <v>0</v>
      </c>
    </row>
    <row r="115" spans="1:10" x14ac:dyDescent="0.2">
      <c r="A115" s="5" t="str">
        <f>TEXT(Data[[#This Row],[Date]],"yyyy")</f>
        <v>2021</v>
      </c>
      <c r="B115" s="5" t="str">
        <f>TEXT(Data[[#This Row],[Date]],"mmm")</f>
        <v>Mar</v>
      </c>
      <c r="C115" s="3">
        <v>44274</v>
      </c>
      <c r="D115" t="s">
        <v>114</v>
      </c>
      <c r="E115" t="s">
        <v>48</v>
      </c>
      <c r="F115" t="s">
        <v>28</v>
      </c>
      <c r="G115" s="1">
        <v>1400</v>
      </c>
      <c r="I115" s="1">
        <f ca="1">IFERROR(OFFSET(Data[[#This Row],[Balance]],-1,0)+Data[[#This Row],[Actual Income]]-Data[[#This Row],[Actual Expense]], Data[[#This Row],[Actual Income]])</f>
        <v>-4406.5999999999995</v>
      </c>
      <c r="J115" s="1">
        <f>IF(Data[[#This Row],[Category]]="Savings or Investments", Data[[#This Row],[Actual Expense]],0)</f>
        <v>1400</v>
      </c>
    </row>
    <row r="116" spans="1:10" x14ac:dyDescent="0.2">
      <c r="A116" s="5" t="str">
        <f>TEXT(Data[[#This Row],[Date]],"yyyy")</f>
        <v>2021</v>
      </c>
      <c r="B116" s="5" t="str">
        <f>TEXT(Data[[#This Row],[Date]],"mmm")</f>
        <v>Mar</v>
      </c>
      <c r="C116" s="3">
        <v>44275</v>
      </c>
      <c r="D116" t="s">
        <v>98</v>
      </c>
      <c r="E116" t="s">
        <v>44</v>
      </c>
      <c r="F116" t="s">
        <v>19</v>
      </c>
      <c r="G116" s="1">
        <v>35.49</v>
      </c>
      <c r="I116" s="1">
        <f ca="1">IFERROR(OFFSET(Data[[#This Row],[Balance]],-1,0)+Data[[#This Row],[Actual Income]]-Data[[#This Row],[Actual Expense]], Data[[#This Row],[Actual Income]])</f>
        <v>-4442.0899999999992</v>
      </c>
      <c r="J116" s="1">
        <f>IF(Data[[#This Row],[Category]]="Savings or Investments", Data[[#This Row],[Actual Expense]],0)</f>
        <v>0</v>
      </c>
    </row>
    <row r="117" spans="1:10" x14ac:dyDescent="0.2">
      <c r="A117" s="5" t="str">
        <f>TEXT(Data[[#This Row],[Date]],"yyyy")</f>
        <v>2021</v>
      </c>
      <c r="B117" s="5" t="str">
        <f>TEXT(Data[[#This Row],[Date]],"mmm")</f>
        <v>Mar</v>
      </c>
      <c r="C117" s="3">
        <v>44275</v>
      </c>
      <c r="D117" t="s">
        <v>184</v>
      </c>
      <c r="E117" t="s">
        <v>44</v>
      </c>
      <c r="F117" t="s">
        <v>20</v>
      </c>
      <c r="G117" s="1">
        <v>204.59</v>
      </c>
      <c r="I117" s="1">
        <f ca="1">IFERROR(OFFSET(Data[[#This Row],[Balance]],-1,0)+Data[[#This Row],[Actual Income]]-Data[[#This Row],[Actual Expense]], Data[[#This Row],[Actual Income]])</f>
        <v>-4646.6799999999994</v>
      </c>
      <c r="J117" s="1">
        <f>IF(Data[[#This Row],[Category]]="Savings or Investments", Data[[#This Row],[Actual Expense]],0)</f>
        <v>0</v>
      </c>
    </row>
    <row r="118" spans="1:10" x14ac:dyDescent="0.2">
      <c r="A118" s="5" t="str">
        <f>TEXT(Data[[#This Row],[Date]],"yyyy")</f>
        <v>2021</v>
      </c>
      <c r="B118" s="5" t="str">
        <f>TEXT(Data[[#This Row],[Date]],"mmm")</f>
        <v>Mar</v>
      </c>
      <c r="C118" s="3">
        <v>44276</v>
      </c>
      <c r="D118" t="s">
        <v>183</v>
      </c>
      <c r="E118" t="s">
        <v>31</v>
      </c>
      <c r="F118" t="s">
        <v>30</v>
      </c>
      <c r="G118" s="1">
        <v>9</v>
      </c>
      <c r="I118" s="1">
        <f ca="1">IFERROR(OFFSET(Data[[#This Row],[Balance]],-1,0)+Data[[#This Row],[Actual Income]]-Data[[#This Row],[Actual Expense]], Data[[#This Row],[Actual Income]])</f>
        <v>-4655.6799999999994</v>
      </c>
      <c r="J118" s="1">
        <f>IF(Data[[#This Row],[Category]]="Savings or Investments", Data[[#This Row],[Actual Expense]],0)</f>
        <v>0</v>
      </c>
    </row>
    <row r="119" spans="1:10" x14ac:dyDescent="0.2">
      <c r="A119" s="5" t="str">
        <f>TEXT(Data[[#This Row],[Date]],"yyyy")</f>
        <v>2021</v>
      </c>
      <c r="B119" s="5" t="str">
        <f>TEXT(Data[[#This Row],[Date]],"mmm")</f>
        <v>Mar</v>
      </c>
      <c r="C119" s="3">
        <v>44277</v>
      </c>
      <c r="D119" t="s">
        <v>180</v>
      </c>
      <c r="E119" t="s">
        <v>49</v>
      </c>
      <c r="F119" t="s">
        <v>154</v>
      </c>
      <c r="G119" s="1">
        <v>50</v>
      </c>
      <c r="I119" s="1">
        <f ca="1">IFERROR(OFFSET(Data[[#This Row],[Balance]],-1,0)+Data[[#This Row],[Actual Income]]-Data[[#This Row],[Actual Expense]], Data[[#This Row],[Actual Income]])</f>
        <v>-4705.6799999999994</v>
      </c>
      <c r="J119" s="1">
        <f>IF(Data[[#This Row],[Category]]="Savings or Investments", Data[[#This Row],[Actual Expense]],0)</f>
        <v>0</v>
      </c>
    </row>
    <row r="120" spans="1:10" x14ac:dyDescent="0.2">
      <c r="A120" s="5" t="str">
        <f>TEXT(Data[[#This Row],[Date]],"yyyy")</f>
        <v>2021</v>
      </c>
      <c r="B120" s="5" t="str">
        <f>TEXT(Data[[#This Row],[Date]],"mmm")</f>
        <v>Mar</v>
      </c>
      <c r="C120" s="3">
        <v>44277</v>
      </c>
      <c r="D120" t="s">
        <v>177</v>
      </c>
      <c r="E120" t="s">
        <v>81</v>
      </c>
      <c r="F120" t="s">
        <v>178</v>
      </c>
      <c r="G120" s="1"/>
      <c r="H120">
        <v>25</v>
      </c>
      <c r="I120" s="1">
        <f ca="1">IFERROR(OFFSET(Data[[#This Row],[Balance]],-1,0)+Data[[#This Row],[Actual Income]]-Data[[#This Row],[Actual Expense]], Data[[#This Row],[Actual Income]])</f>
        <v>-4680.6799999999994</v>
      </c>
      <c r="J120" s="1">
        <f>IF(Data[[#This Row],[Category]]="Savings or Investments", Data[[#This Row],[Actual Expense]],0)</f>
        <v>0</v>
      </c>
    </row>
    <row r="121" spans="1:10" x14ac:dyDescent="0.2">
      <c r="A121" s="5" t="str">
        <f>TEXT(Data[[#This Row],[Date]],"yyyy")</f>
        <v>2021</v>
      </c>
      <c r="B121" s="5" t="str">
        <f>TEXT(Data[[#This Row],[Date]],"mmm")</f>
        <v>Mar</v>
      </c>
      <c r="C121" s="3">
        <v>44278</v>
      </c>
      <c r="D121" t="s">
        <v>172</v>
      </c>
      <c r="E121" t="s">
        <v>48</v>
      </c>
      <c r="F121" t="s">
        <v>70</v>
      </c>
      <c r="G121" s="1">
        <v>150</v>
      </c>
      <c r="I121" s="1">
        <f ca="1">IFERROR(OFFSET(Data[[#This Row],[Balance]],-1,0)+Data[[#This Row],[Actual Income]]-Data[[#This Row],[Actual Expense]], Data[[#This Row],[Actual Income]])</f>
        <v>-4830.6799999999994</v>
      </c>
      <c r="J121" s="1">
        <f>IF(Data[[#This Row],[Category]]="Savings or Investments", Data[[#This Row],[Actual Expense]],0)</f>
        <v>150</v>
      </c>
    </row>
    <row r="122" spans="1:10" x14ac:dyDescent="0.2">
      <c r="A122" s="5" t="str">
        <f>TEXT(Data[[#This Row],[Date]],"yyyy")</f>
        <v>2021</v>
      </c>
      <c r="B122" s="5" t="str">
        <f>TEXT(Data[[#This Row],[Date]],"mmm")</f>
        <v>Mar</v>
      </c>
      <c r="C122" s="3">
        <v>44279</v>
      </c>
      <c r="D122" t="s">
        <v>172</v>
      </c>
      <c r="E122" t="s">
        <v>48</v>
      </c>
      <c r="F122" t="s">
        <v>70</v>
      </c>
      <c r="G122" s="1">
        <v>150</v>
      </c>
      <c r="I122" s="1">
        <f ca="1">IFERROR(OFFSET(Data[[#This Row],[Balance]],-1,0)+Data[[#This Row],[Actual Income]]-Data[[#This Row],[Actual Expense]], Data[[#This Row],[Actual Income]])</f>
        <v>-4980.6799999999994</v>
      </c>
      <c r="J122" s="1">
        <f>IF(Data[[#This Row],[Category]]="Savings or Investments", Data[[#This Row],[Actual Expense]],0)</f>
        <v>150</v>
      </c>
    </row>
    <row r="123" spans="1:10" x14ac:dyDescent="0.2">
      <c r="A123" s="5" t="str">
        <f>TEXT(Data[[#This Row],[Date]],"yyyy")</f>
        <v>2021</v>
      </c>
      <c r="B123" s="5" t="str">
        <f>TEXT(Data[[#This Row],[Date]],"mmm")</f>
        <v>Mar</v>
      </c>
      <c r="C123" s="3">
        <v>44280</v>
      </c>
      <c r="D123" t="s">
        <v>59</v>
      </c>
      <c r="E123" t="s">
        <v>31</v>
      </c>
      <c r="F123" t="s">
        <v>55</v>
      </c>
      <c r="G123" s="1">
        <v>21</v>
      </c>
      <c r="I123" s="1">
        <f ca="1">IFERROR(OFFSET(Data[[#This Row],[Balance]],-1,0)+Data[[#This Row],[Actual Income]]-Data[[#This Row],[Actual Expense]], Data[[#This Row],[Actual Income]])</f>
        <v>-5001.6799999999994</v>
      </c>
      <c r="J123" s="1">
        <f>IF(Data[[#This Row],[Category]]="Savings or Investments", Data[[#This Row],[Actual Expense]],0)</f>
        <v>0</v>
      </c>
    </row>
    <row r="124" spans="1:10" x14ac:dyDescent="0.2">
      <c r="A124" s="5" t="str">
        <f>TEXT(Data[[#This Row],[Date]],"yyyy")</f>
        <v>2021</v>
      </c>
      <c r="B124" s="5" t="str">
        <f>TEXT(Data[[#This Row],[Date]],"mmm")</f>
        <v>Mar</v>
      </c>
      <c r="C124" s="3">
        <v>44280</v>
      </c>
      <c r="D124" t="s">
        <v>185</v>
      </c>
      <c r="E124" t="s">
        <v>44</v>
      </c>
      <c r="F124" t="s">
        <v>15</v>
      </c>
      <c r="G124" s="1">
        <v>500</v>
      </c>
      <c r="I124" s="1">
        <f ca="1">IFERROR(OFFSET(Data[[#This Row],[Balance]],-1,0)+Data[[#This Row],[Actual Income]]-Data[[#This Row],[Actual Expense]], Data[[#This Row],[Actual Income]])</f>
        <v>-5501.6799999999994</v>
      </c>
      <c r="J124" s="1">
        <f>IF(Data[[#This Row],[Category]]="Savings or Investments", Data[[#This Row],[Actual Expense]],0)</f>
        <v>0</v>
      </c>
    </row>
    <row r="125" spans="1:10" x14ac:dyDescent="0.2">
      <c r="A125" s="5" t="str">
        <f>TEXT(Data[[#This Row],[Date]],"yyyy")</f>
        <v>2021</v>
      </c>
      <c r="B125" s="5" t="str">
        <f>TEXT(Data[[#This Row],[Date]],"mmm")</f>
        <v>Mar</v>
      </c>
      <c r="C125" s="3">
        <v>44280</v>
      </c>
      <c r="D125" t="s">
        <v>60</v>
      </c>
      <c r="E125" t="s">
        <v>31</v>
      </c>
      <c r="F125" t="s">
        <v>30</v>
      </c>
      <c r="G125" s="1">
        <v>7.35</v>
      </c>
      <c r="I125" s="1">
        <f ca="1">IFERROR(OFFSET(Data[[#This Row],[Balance]],-1,0)+Data[[#This Row],[Actual Income]]-Data[[#This Row],[Actual Expense]], Data[[#This Row],[Actual Income]])</f>
        <v>-5509.03</v>
      </c>
      <c r="J125" s="1">
        <f>IF(Data[[#This Row],[Category]]="Savings or Investments", Data[[#This Row],[Actual Expense]],0)</f>
        <v>0</v>
      </c>
    </row>
    <row r="126" spans="1:10" x14ac:dyDescent="0.2">
      <c r="A126" s="5" t="str">
        <f>TEXT(Data[[#This Row],[Date]],"yyyy")</f>
        <v>2021</v>
      </c>
      <c r="B126" s="5" t="str">
        <f>TEXT(Data[[#This Row],[Date]],"mmm")</f>
        <v>Mar</v>
      </c>
      <c r="C126" s="3">
        <v>44280</v>
      </c>
      <c r="D126" t="s">
        <v>186</v>
      </c>
      <c r="E126" t="s">
        <v>31</v>
      </c>
      <c r="F126" t="s">
        <v>30</v>
      </c>
      <c r="G126" s="1">
        <v>9.5</v>
      </c>
      <c r="I126" s="1">
        <f ca="1">IFERROR(OFFSET(Data[[#This Row],[Balance]],-1,0)+Data[[#This Row],[Actual Income]]-Data[[#This Row],[Actual Expense]], Data[[#This Row],[Actual Income]])</f>
        <v>-5518.53</v>
      </c>
      <c r="J126" s="1">
        <f>IF(Data[[#This Row],[Category]]="Savings or Investments", Data[[#This Row],[Actual Expense]],0)</f>
        <v>0</v>
      </c>
    </row>
    <row r="127" spans="1:10" x14ac:dyDescent="0.2">
      <c r="A127" s="5" t="str">
        <f>TEXT(Data[[#This Row],[Date]],"yyyy")</f>
        <v>2021</v>
      </c>
      <c r="B127" s="5" t="str">
        <f>TEXT(Data[[#This Row],[Date]],"mmm")</f>
        <v>Mar</v>
      </c>
      <c r="C127" s="3">
        <v>44280</v>
      </c>
      <c r="D127" t="s">
        <v>103</v>
      </c>
      <c r="E127" t="s">
        <v>53</v>
      </c>
      <c r="F127" t="s">
        <v>11</v>
      </c>
      <c r="G127" s="1">
        <v>29.68</v>
      </c>
      <c r="I127" s="1">
        <f ca="1">IFERROR(OFFSET(Data[[#This Row],[Balance]],-1,0)+Data[[#This Row],[Actual Income]]-Data[[#This Row],[Actual Expense]], Data[[#This Row],[Actual Income]])</f>
        <v>-5548.21</v>
      </c>
      <c r="J127" s="1">
        <f>IF(Data[[#This Row],[Category]]="Savings or Investments", Data[[#This Row],[Actual Expense]],0)</f>
        <v>0</v>
      </c>
    </row>
    <row r="128" spans="1:10" x14ac:dyDescent="0.2">
      <c r="A128" s="5" t="str">
        <f>TEXT(Data[[#This Row],[Date]],"yyyy")</f>
        <v>2021</v>
      </c>
      <c r="B128" s="5" t="str">
        <f>TEXT(Data[[#This Row],[Date]],"mmm")</f>
        <v>Mar</v>
      </c>
      <c r="C128" s="3">
        <v>44281</v>
      </c>
      <c r="D128" t="s">
        <v>179</v>
      </c>
      <c r="E128" t="s">
        <v>49</v>
      </c>
      <c r="F128" t="s">
        <v>154</v>
      </c>
      <c r="G128" s="1">
        <v>20</v>
      </c>
      <c r="I128" s="1">
        <f ca="1">IFERROR(OFFSET(Data[[#This Row],[Balance]],-1,0)+Data[[#This Row],[Actual Income]]-Data[[#This Row],[Actual Expense]], Data[[#This Row],[Actual Income]])</f>
        <v>-5568.21</v>
      </c>
      <c r="J128" s="1">
        <f>IF(Data[[#This Row],[Category]]="Savings or Investments", Data[[#This Row],[Actual Expense]],0)</f>
        <v>0</v>
      </c>
    </row>
    <row r="129" spans="1:10" x14ac:dyDescent="0.2">
      <c r="A129" s="5" t="str">
        <f>TEXT(Data[[#This Row],[Date]],"yyyy")</f>
        <v>2021</v>
      </c>
      <c r="B129" s="5" t="str">
        <f>TEXT(Data[[#This Row],[Date]],"mmm")</f>
        <v>Mar</v>
      </c>
      <c r="C129" s="3">
        <v>44281</v>
      </c>
      <c r="D129" t="s">
        <v>187</v>
      </c>
      <c r="E129" t="s">
        <v>31</v>
      </c>
      <c r="F129" t="s">
        <v>55</v>
      </c>
      <c r="G129" s="1">
        <v>5.9</v>
      </c>
      <c r="I129" s="1">
        <f ca="1">IFERROR(OFFSET(Data[[#This Row],[Balance]],-1,0)+Data[[#This Row],[Actual Income]]-Data[[#This Row],[Actual Expense]], Data[[#This Row],[Actual Income]])</f>
        <v>-5574.11</v>
      </c>
      <c r="J129" s="1">
        <f>IF(Data[[#This Row],[Category]]="Savings or Investments", Data[[#This Row],[Actual Expense]],0)</f>
        <v>0</v>
      </c>
    </row>
    <row r="130" spans="1:10" x14ac:dyDescent="0.2">
      <c r="A130" s="5" t="str">
        <f>TEXT(Data[[#This Row],[Date]],"yyyy")</f>
        <v>2021</v>
      </c>
      <c r="B130" s="5" t="str">
        <f>TEXT(Data[[#This Row],[Date]],"mmm")</f>
        <v>Mar</v>
      </c>
      <c r="C130" s="3">
        <v>44281</v>
      </c>
      <c r="D130" t="s">
        <v>83</v>
      </c>
      <c r="E130" t="s">
        <v>81</v>
      </c>
      <c r="F130" t="s">
        <v>174</v>
      </c>
      <c r="G130" s="1"/>
      <c r="H130">
        <v>1862.45</v>
      </c>
      <c r="I130" s="1">
        <f ca="1">IFERROR(OFFSET(Data[[#This Row],[Balance]],-1,0)+Data[[#This Row],[Actual Income]]-Data[[#This Row],[Actual Expense]], Data[[#This Row],[Actual Income]])</f>
        <v>-3711.66</v>
      </c>
      <c r="J130" s="1">
        <f>IF(Data[[#This Row],[Category]]="Savings or Investments", Data[[#This Row],[Actual Expense]],0)</f>
        <v>0</v>
      </c>
    </row>
    <row r="131" spans="1:10" x14ac:dyDescent="0.2">
      <c r="A131" s="5" t="str">
        <f>TEXT(Data[[#This Row],[Date]],"yyyy")</f>
        <v>2021</v>
      </c>
      <c r="B131" s="5" t="str">
        <f>TEXT(Data[[#This Row],[Date]],"mmm")</f>
        <v>Mar</v>
      </c>
      <c r="C131" s="3">
        <v>44282</v>
      </c>
      <c r="D131" t="s">
        <v>189</v>
      </c>
      <c r="E131" t="s">
        <v>49</v>
      </c>
      <c r="F131" t="s">
        <v>154</v>
      </c>
      <c r="G131" s="1">
        <f>(50+2.14+3.98)*0.0825+(50+2.14+3.98)</f>
        <v>60.749899999999997</v>
      </c>
      <c r="I131" s="1">
        <f ca="1">IFERROR(OFFSET(Data[[#This Row],[Balance]],-1,0)+Data[[#This Row],[Actual Income]]-Data[[#This Row],[Actual Expense]], Data[[#This Row],[Actual Income]])</f>
        <v>-3772.4098999999997</v>
      </c>
      <c r="J131" s="1">
        <f>IF(Data[[#This Row],[Category]]="Savings or Investments", Data[[#This Row],[Actual Expense]],0)</f>
        <v>0</v>
      </c>
    </row>
    <row r="132" spans="1:10" x14ac:dyDescent="0.2">
      <c r="A132" s="5" t="str">
        <f>TEXT(Data[[#This Row],[Date]],"yyyy")</f>
        <v>2021</v>
      </c>
      <c r="B132" s="5" t="str">
        <f>TEXT(Data[[#This Row],[Date]],"mmm")</f>
        <v>Mar</v>
      </c>
      <c r="C132" s="3">
        <v>44282</v>
      </c>
      <c r="D132" t="s">
        <v>99</v>
      </c>
      <c r="E132" t="s">
        <v>53</v>
      </c>
      <c r="F132" t="s">
        <v>188</v>
      </c>
      <c r="G132" s="1">
        <f>102.8-16-((50+2.14+3.98)*0.0825)+(50+2.14+3.98)</f>
        <v>138.2901</v>
      </c>
      <c r="I132" s="1">
        <f ca="1">IFERROR(OFFSET(Data[[#This Row],[Balance]],-1,0)+Data[[#This Row],[Actual Income]]-Data[[#This Row],[Actual Expense]], Data[[#This Row],[Actual Income]])</f>
        <v>-3910.7</v>
      </c>
      <c r="J132" s="1">
        <f>IF(Data[[#This Row],[Category]]="Savings or Investments", Data[[#This Row],[Actual Expense]],0)</f>
        <v>0</v>
      </c>
    </row>
    <row r="133" spans="1:10" x14ac:dyDescent="0.2">
      <c r="A133" s="5" t="str">
        <f>TEXT(Data[[#This Row],[Date]],"yyyy")</f>
        <v>2021</v>
      </c>
      <c r="B133" s="5" t="str">
        <f>TEXT(Data[[#This Row],[Date]],"mmm")</f>
        <v>Mar</v>
      </c>
      <c r="C133" s="3">
        <v>44284</v>
      </c>
      <c r="D133" t="s">
        <v>59</v>
      </c>
      <c r="E133" t="s">
        <v>31</v>
      </c>
      <c r="F133" t="s">
        <v>55</v>
      </c>
      <c r="G133" s="1">
        <v>15.64</v>
      </c>
      <c r="I133" s="1">
        <f ca="1">IFERROR(OFFSET(Data[[#This Row],[Balance]],-1,0)+Data[[#This Row],[Actual Income]]-Data[[#This Row],[Actual Expense]], Data[[#This Row],[Actual Income]])</f>
        <v>-3926.3399999999997</v>
      </c>
      <c r="J133" s="1">
        <f>IF(Data[[#This Row],[Category]]="Savings or Investments", Data[[#This Row],[Actual Expense]],0)</f>
        <v>0</v>
      </c>
    </row>
    <row r="134" spans="1:10" x14ac:dyDescent="0.2">
      <c r="A134" s="5" t="str">
        <f>TEXT(Data[[#This Row],[Date]],"yyyy")</f>
        <v>2021</v>
      </c>
      <c r="B134" s="5" t="str">
        <f>TEXT(Data[[#This Row],[Date]],"mmm")</f>
        <v>Mar</v>
      </c>
      <c r="C134" s="3">
        <v>44284</v>
      </c>
      <c r="D134" t="s">
        <v>59</v>
      </c>
      <c r="E134" t="s">
        <v>31</v>
      </c>
      <c r="F134" t="s">
        <v>55</v>
      </c>
      <c r="G134" s="1">
        <v>15.64</v>
      </c>
      <c r="I134" s="1">
        <f ca="1">IFERROR(OFFSET(Data[[#This Row],[Balance]],-1,0)+Data[[#This Row],[Actual Income]]-Data[[#This Row],[Actual Expense]], Data[[#This Row],[Actual Income]])</f>
        <v>-3941.9799999999996</v>
      </c>
      <c r="J134" s="1">
        <f>IF(Data[[#This Row],[Category]]="Savings or Investments", Data[[#This Row],[Actual Expense]],0)</f>
        <v>0</v>
      </c>
    </row>
    <row r="135" spans="1:10" x14ac:dyDescent="0.2">
      <c r="A135" s="5" t="str">
        <f>TEXT(Data[[#This Row],[Date]],"yyyy")</f>
        <v>2021</v>
      </c>
      <c r="B135" s="5" t="str">
        <f>TEXT(Data[[#This Row],[Date]],"mmm")</f>
        <v>Mar</v>
      </c>
      <c r="C135" s="3">
        <v>44284</v>
      </c>
      <c r="D135" t="s">
        <v>59</v>
      </c>
      <c r="E135" t="s">
        <v>31</v>
      </c>
      <c r="F135" t="s">
        <v>55</v>
      </c>
      <c r="G135" s="1">
        <v>9.8000000000000007</v>
      </c>
      <c r="I135" s="1">
        <f ca="1">IFERROR(OFFSET(Data[[#This Row],[Balance]],-1,0)+Data[[#This Row],[Actual Income]]-Data[[#This Row],[Actual Expense]], Data[[#This Row],[Actual Income]])</f>
        <v>-3951.7799999999997</v>
      </c>
      <c r="J135" s="1">
        <f>IF(Data[[#This Row],[Category]]="Savings or Investments", Data[[#This Row],[Actual Expense]],0)</f>
        <v>0</v>
      </c>
    </row>
    <row r="136" spans="1:10" x14ac:dyDescent="0.2">
      <c r="A136" s="5" t="str">
        <f>TEXT(Data[[#This Row],[Date]],"yyyy")</f>
        <v>2021</v>
      </c>
      <c r="B136" s="5" t="str">
        <f>TEXT(Data[[#This Row],[Date]],"mmm")</f>
        <v>Mar</v>
      </c>
      <c r="C136" s="3">
        <v>44284</v>
      </c>
      <c r="D136" t="s">
        <v>192</v>
      </c>
      <c r="E136" t="s">
        <v>43</v>
      </c>
      <c r="F136" t="s">
        <v>11</v>
      </c>
      <c r="G136" s="1">
        <v>16</v>
      </c>
      <c r="I136" s="1">
        <f ca="1">IFERROR(OFFSET(Data[[#This Row],[Balance]],-1,0)+Data[[#This Row],[Actual Income]]-Data[[#This Row],[Actual Expense]], Data[[#This Row],[Actual Income]])</f>
        <v>-3967.7799999999997</v>
      </c>
      <c r="J136" s="1">
        <f>IF(Data[[#This Row],[Category]]="Savings or Investments", Data[[#This Row],[Actual Expense]],0)</f>
        <v>0</v>
      </c>
    </row>
    <row r="137" spans="1:10" x14ac:dyDescent="0.2">
      <c r="A137" s="5" t="str">
        <f>TEXT(Data[[#This Row],[Date]],"yyyy")</f>
        <v>2021</v>
      </c>
      <c r="B137" s="5" t="str">
        <f>TEXT(Data[[#This Row],[Date]],"mmm")</f>
        <v>Mar</v>
      </c>
      <c r="C137" s="3">
        <v>44284</v>
      </c>
      <c r="D137" t="s">
        <v>191</v>
      </c>
      <c r="E137" t="s">
        <v>31</v>
      </c>
      <c r="F137" t="s">
        <v>30</v>
      </c>
      <c r="G137" s="1">
        <v>17.75</v>
      </c>
      <c r="I137" s="1">
        <f ca="1">IFERROR(OFFSET(Data[[#This Row],[Balance]],-1,0)+Data[[#This Row],[Actual Income]]-Data[[#This Row],[Actual Expense]], Data[[#This Row],[Actual Income]])</f>
        <v>-3985.5299999999997</v>
      </c>
      <c r="J137" s="1">
        <f>IF(Data[[#This Row],[Category]]="Savings or Investments", Data[[#This Row],[Actual Expense]],0)</f>
        <v>0</v>
      </c>
    </row>
    <row r="138" spans="1:10" x14ac:dyDescent="0.2">
      <c r="A138" s="5" t="str">
        <f>TEXT(Data[[#This Row],[Date]],"yyyy")</f>
        <v>2021</v>
      </c>
      <c r="B138" s="5" t="str">
        <f>TEXT(Data[[#This Row],[Date]],"mmm")</f>
        <v>Mar</v>
      </c>
      <c r="C138" s="3">
        <v>44285</v>
      </c>
      <c r="D138" t="s">
        <v>193</v>
      </c>
      <c r="E138" t="s">
        <v>31</v>
      </c>
      <c r="F138" t="s">
        <v>30</v>
      </c>
      <c r="G138" s="1">
        <v>35.21</v>
      </c>
      <c r="I138" s="1">
        <f ca="1">IFERROR(OFFSET(Data[[#This Row],[Balance]],-1,0)+Data[[#This Row],[Actual Income]]-Data[[#This Row],[Actual Expense]], Data[[#This Row],[Actual Income]])</f>
        <v>-4020.74</v>
      </c>
      <c r="J138" s="1">
        <f>IF(Data[[#This Row],[Category]]="Savings or Investments", Data[[#This Row],[Actual Expense]],0)</f>
        <v>0</v>
      </c>
    </row>
    <row r="139" spans="1:10" x14ac:dyDescent="0.2">
      <c r="A139" s="5" t="str">
        <f>TEXT(Data[[#This Row],[Date]],"yyyy")</f>
        <v>2021</v>
      </c>
      <c r="B139" s="5" t="str">
        <f>TEXT(Data[[#This Row],[Date]],"mmm")</f>
        <v>Mar</v>
      </c>
      <c r="C139" s="3">
        <v>44285</v>
      </c>
      <c r="D139" t="s">
        <v>172</v>
      </c>
      <c r="E139" t="s">
        <v>48</v>
      </c>
      <c r="F139" t="s">
        <v>70</v>
      </c>
      <c r="G139" s="1">
        <v>150</v>
      </c>
      <c r="I139" s="1">
        <f ca="1">IFERROR(OFFSET(Data[[#This Row],[Balance]],-1,0)+Data[[#This Row],[Actual Income]]-Data[[#This Row],[Actual Expense]], Data[[#This Row],[Actual Income]])</f>
        <v>-4170.74</v>
      </c>
      <c r="J139" s="1">
        <f>IF(Data[[#This Row],[Category]]="Savings or Investments", Data[[#This Row],[Actual Expense]],0)</f>
        <v>150</v>
      </c>
    </row>
    <row r="140" spans="1:10" x14ac:dyDescent="0.2">
      <c r="A140" s="5" t="str">
        <f>TEXT(Data[[#This Row],[Date]],"yyyy")</f>
        <v>2021</v>
      </c>
      <c r="B140" s="5" t="str">
        <f>TEXT(Data[[#This Row],[Date]],"mmm")</f>
        <v>Mar</v>
      </c>
      <c r="C140" s="3">
        <v>44286</v>
      </c>
      <c r="D140" t="s">
        <v>172</v>
      </c>
      <c r="E140" t="s">
        <v>48</v>
      </c>
      <c r="F140" t="s">
        <v>70</v>
      </c>
      <c r="G140" s="1">
        <v>150</v>
      </c>
      <c r="I140" s="1">
        <f ca="1">IFERROR(OFFSET(Data[[#This Row],[Balance]],-1,0)+Data[[#This Row],[Actual Income]]-Data[[#This Row],[Actual Expense]], Data[[#This Row],[Actual Income]])</f>
        <v>-4320.74</v>
      </c>
      <c r="J140" s="1">
        <f>IF(Data[[#This Row],[Category]]="Savings or Investments", Data[[#This Row],[Actual Expense]],0)</f>
        <v>150</v>
      </c>
    </row>
    <row r="141" spans="1:10" x14ac:dyDescent="0.2">
      <c r="A141" s="5" t="str">
        <f>TEXT(Data[[#This Row],[Date]],"yyyy")</f>
        <v>2021</v>
      </c>
      <c r="B141" s="5" t="str">
        <f>TEXT(Data[[#This Row],[Date]],"mmm")</f>
        <v>Mar</v>
      </c>
      <c r="C141" s="3">
        <v>44286</v>
      </c>
      <c r="D141" t="s">
        <v>190</v>
      </c>
      <c r="E141" t="s">
        <v>31</v>
      </c>
      <c r="F141" t="s">
        <v>55</v>
      </c>
      <c r="G141" s="1">
        <v>7</v>
      </c>
      <c r="I141" s="1">
        <f ca="1">IFERROR(OFFSET(Data[[#This Row],[Balance]],-1,0)+Data[[#This Row],[Actual Income]]-Data[[#This Row],[Actual Expense]], Data[[#This Row],[Actual Income]])</f>
        <v>-4327.74</v>
      </c>
      <c r="J141" s="1">
        <f>IF(Data[[#This Row],[Category]]="Savings or Investments", Data[[#This Row],[Actual Expense]],0)</f>
        <v>0</v>
      </c>
    </row>
    <row r="142" spans="1:10" x14ac:dyDescent="0.2">
      <c r="A142" s="5" t="str">
        <f>TEXT(Data[[#This Row],[Date]],"yyyy")</f>
        <v>2021</v>
      </c>
      <c r="B142" s="5" t="str">
        <f>TEXT(Data[[#This Row],[Date]],"mmm")</f>
        <v>Apr</v>
      </c>
      <c r="C142" s="3">
        <v>44287</v>
      </c>
      <c r="D142" t="s">
        <v>114</v>
      </c>
      <c r="E142" t="s">
        <v>48</v>
      </c>
      <c r="F142" t="s">
        <v>28</v>
      </c>
      <c r="G142" s="1">
        <v>500</v>
      </c>
      <c r="I142" s="1">
        <f ca="1">IFERROR(OFFSET(Data[[#This Row],[Balance]],-1,0)+Data[[#This Row],[Actual Income]]-Data[[#This Row],[Actual Expense]], Data[[#This Row],[Actual Income]])</f>
        <v>-4827.74</v>
      </c>
      <c r="J142" s="1">
        <f>IF(Data[[#This Row],[Category]]="Savings or Investments", Data[[#This Row],[Actual Expense]],0)</f>
        <v>500</v>
      </c>
    </row>
    <row r="143" spans="1:10" x14ac:dyDescent="0.2">
      <c r="A143" s="5" t="str">
        <f>TEXT(Data[[#This Row],[Date]],"yyyy")</f>
        <v>2021</v>
      </c>
      <c r="B143" s="5" t="str">
        <f>TEXT(Data[[#This Row],[Date]],"mmm")</f>
        <v>Apr</v>
      </c>
      <c r="C143" s="3">
        <v>44287</v>
      </c>
      <c r="D143" t="s">
        <v>114</v>
      </c>
      <c r="E143" t="s">
        <v>48</v>
      </c>
      <c r="F143" t="s">
        <v>28</v>
      </c>
      <c r="G143" s="1">
        <v>500</v>
      </c>
      <c r="I143" s="1">
        <f ca="1">IFERROR(OFFSET(Data[[#This Row],[Balance]],-1,0)+Data[[#This Row],[Actual Income]]-Data[[#This Row],[Actual Expense]], Data[[#This Row],[Actual Income]])</f>
        <v>-5327.74</v>
      </c>
      <c r="J143" s="1">
        <f>IF(Data[[#This Row],[Category]]="Savings or Investments", Data[[#This Row],[Actual Expense]],0)</f>
        <v>500</v>
      </c>
    </row>
    <row r="144" spans="1:10" x14ac:dyDescent="0.2">
      <c r="A144" s="5" t="str">
        <f>TEXT(Data[[#This Row],[Date]],"yyyy")</f>
        <v>2021</v>
      </c>
      <c r="B144" s="5" t="str">
        <f>TEXT(Data[[#This Row],[Date]],"mmm")</f>
        <v>Apr</v>
      </c>
      <c r="C144" s="3">
        <v>44287</v>
      </c>
      <c r="D144" t="s">
        <v>52</v>
      </c>
      <c r="E144" t="s">
        <v>42</v>
      </c>
      <c r="F144" t="s">
        <v>0</v>
      </c>
      <c r="G144" s="1">
        <v>700</v>
      </c>
      <c r="I144" s="1">
        <f ca="1">IFERROR(OFFSET(Data[[#This Row],[Balance]],-1,0)+Data[[#This Row],[Actual Income]]-Data[[#This Row],[Actual Expense]], Data[[#This Row],[Actual Income]])</f>
        <v>-6027.74</v>
      </c>
      <c r="J144" s="1">
        <f>IF(Data[[#This Row],[Category]]="Savings or Investments", Data[[#This Row],[Actual Expense]],0)</f>
        <v>0</v>
      </c>
    </row>
    <row r="145" spans="1:10" x14ac:dyDescent="0.2">
      <c r="A145" s="5" t="str">
        <f>TEXT(Data[[#This Row],[Date]],"yyyy")</f>
        <v>2021</v>
      </c>
      <c r="B145" s="5" t="str">
        <f>TEXT(Data[[#This Row],[Date]],"mmm")</f>
        <v>Apr</v>
      </c>
      <c r="C145" s="3">
        <v>44288</v>
      </c>
      <c r="D145" t="s">
        <v>63</v>
      </c>
      <c r="E145" t="s">
        <v>11</v>
      </c>
      <c r="F145" t="s">
        <v>194</v>
      </c>
      <c r="G145" s="1">
        <v>0.3</v>
      </c>
      <c r="I145" s="1">
        <f ca="1">IFERROR(OFFSET(Data[[#This Row],[Balance]],-1,0)+Data[[#This Row],[Actual Income]]-Data[[#This Row],[Actual Expense]], Data[[#This Row],[Actual Income]])</f>
        <v>-6028.04</v>
      </c>
      <c r="J145" s="1">
        <f>IF(Data[[#This Row],[Category]]="Savings or Investments", Data[[#This Row],[Actual Expense]],0)</f>
        <v>0</v>
      </c>
    </row>
    <row r="146" spans="1:10" x14ac:dyDescent="0.2">
      <c r="A146" s="5" t="str">
        <f>TEXT(Data[[#This Row],[Date]],"yyyy")</f>
        <v>2021</v>
      </c>
      <c r="B146" s="5" t="str">
        <f>TEXT(Data[[#This Row],[Date]],"mmm")</f>
        <v>Apr</v>
      </c>
      <c r="C146" s="3">
        <v>44288</v>
      </c>
      <c r="D146" t="s">
        <v>196</v>
      </c>
      <c r="E146" t="s">
        <v>11</v>
      </c>
      <c r="F146" t="s">
        <v>197</v>
      </c>
      <c r="G146" s="1">
        <v>10.44</v>
      </c>
      <c r="I146" s="1">
        <f ca="1">IFERROR(OFFSET(Data[[#This Row],[Balance]],-1,0)+Data[[#This Row],[Actual Income]]-Data[[#This Row],[Actual Expense]], Data[[#This Row],[Actual Income]])</f>
        <v>-6038.48</v>
      </c>
      <c r="J146" s="1">
        <f>IF(Data[[#This Row],[Category]]="Savings or Investments", Data[[#This Row],[Actual Expense]],0)</f>
        <v>0</v>
      </c>
    </row>
    <row r="147" spans="1:10" x14ac:dyDescent="0.2">
      <c r="A147" s="5" t="str">
        <f>TEXT(Data[[#This Row],[Date]],"yyyy")</f>
        <v>2021</v>
      </c>
      <c r="B147" s="5" t="str">
        <f>TEXT(Data[[#This Row],[Date]],"mmm")</f>
        <v>Apr</v>
      </c>
      <c r="C147" s="3">
        <v>44290</v>
      </c>
      <c r="D147" t="s">
        <v>59</v>
      </c>
      <c r="E147" t="s">
        <v>31</v>
      </c>
      <c r="F147" t="s">
        <v>55</v>
      </c>
      <c r="G147" s="1">
        <v>9.85</v>
      </c>
      <c r="I147" s="1">
        <f ca="1">IFERROR(OFFSET(Data[[#This Row],[Balance]],-1,0)+Data[[#This Row],[Actual Income]]-Data[[#This Row],[Actual Expense]], Data[[#This Row],[Actual Income]])</f>
        <v>-6048.33</v>
      </c>
      <c r="J147" s="1">
        <f>IF(Data[[#This Row],[Category]]="Savings or Investments", Data[[#This Row],[Actual Expense]],0)</f>
        <v>0</v>
      </c>
    </row>
    <row r="148" spans="1:10" x14ac:dyDescent="0.2">
      <c r="A148" s="5" t="str">
        <f>TEXT(Data[[#This Row],[Date]],"yyyy")</f>
        <v>2021</v>
      </c>
      <c r="B148" s="5" t="str">
        <f>TEXT(Data[[#This Row],[Date]],"mmm")</f>
        <v>Apr</v>
      </c>
      <c r="C148" s="3">
        <v>44290</v>
      </c>
      <c r="D148" t="s">
        <v>201</v>
      </c>
      <c r="E148" t="s">
        <v>44</v>
      </c>
      <c r="F148" t="s">
        <v>19</v>
      </c>
      <c r="G148" s="1">
        <v>33.57</v>
      </c>
      <c r="I148" s="1">
        <f ca="1">IFERROR(OFFSET(Data[[#This Row],[Balance]],-1,0)+Data[[#This Row],[Actual Income]]-Data[[#This Row],[Actual Expense]], Data[[#This Row],[Actual Income]])</f>
        <v>-6081.9</v>
      </c>
      <c r="J148" s="1">
        <f>IF(Data[[#This Row],[Category]]="Savings or Investments", Data[[#This Row],[Actual Expense]],0)</f>
        <v>0</v>
      </c>
    </row>
    <row r="149" spans="1:10" x14ac:dyDescent="0.2">
      <c r="A149" s="5" t="str">
        <f>TEXT(Data[[#This Row],[Date]],"yyyy")</f>
        <v>2021</v>
      </c>
      <c r="B149" s="5" t="str">
        <f>TEXT(Data[[#This Row],[Date]],"mmm")</f>
        <v>Apr</v>
      </c>
      <c r="C149" s="3">
        <v>44291</v>
      </c>
      <c r="D149" t="s">
        <v>162</v>
      </c>
      <c r="E149" t="s">
        <v>31</v>
      </c>
      <c r="F149" t="s">
        <v>55</v>
      </c>
      <c r="G149" s="1">
        <v>6.5</v>
      </c>
      <c r="I149" s="1">
        <f ca="1">IFERROR(OFFSET(Data[[#This Row],[Balance]],-1,0)+Data[[#This Row],[Actual Income]]-Data[[#This Row],[Actual Expense]], Data[[#This Row],[Actual Income]])</f>
        <v>-6088.4</v>
      </c>
      <c r="J149" s="1">
        <f>IF(Data[[#This Row],[Category]]="Savings or Investments", Data[[#This Row],[Actual Expense]],0)</f>
        <v>0</v>
      </c>
    </row>
    <row r="150" spans="1:10" x14ac:dyDescent="0.2">
      <c r="A150" s="5" t="str">
        <f>TEXT(Data[[#This Row],[Date]],"yyyy")</f>
        <v>2021</v>
      </c>
      <c r="B150" s="5" t="str">
        <f>TEXT(Data[[#This Row],[Date]],"mmm")</f>
        <v>Apr</v>
      </c>
      <c r="C150" s="3">
        <v>44291</v>
      </c>
      <c r="D150" t="s">
        <v>162</v>
      </c>
      <c r="E150" t="s">
        <v>31</v>
      </c>
      <c r="F150" t="s">
        <v>55</v>
      </c>
      <c r="G150" s="1">
        <v>6.5</v>
      </c>
      <c r="I150" s="1">
        <f ca="1">IFERROR(OFFSET(Data[[#This Row],[Balance]],-1,0)+Data[[#This Row],[Actual Income]]-Data[[#This Row],[Actual Expense]], Data[[#This Row],[Actual Income]])</f>
        <v>-6094.9</v>
      </c>
      <c r="J150" s="1">
        <f>IF(Data[[#This Row],[Category]]="Savings or Investments", Data[[#This Row],[Actual Expense]],0)</f>
        <v>0</v>
      </c>
    </row>
    <row r="151" spans="1:10" x14ac:dyDescent="0.2">
      <c r="A151" s="5" t="str">
        <f>TEXT(Data[[#This Row],[Date]],"yyyy")</f>
        <v>2021</v>
      </c>
      <c r="B151" s="5" t="str">
        <f>TEXT(Data[[#This Row],[Date]],"mmm")</f>
        <v>Apr</v>
      </c>
      <c r="C151" s="3">
        <v>44291</v>
      </c>
      <c r="D151" t="s">
        <v>200</v>
      </c>
      <c r="E151" t="s">
        <v>48</v>
      </c>
      <c r="F151" t="s">
        <v>70</v>
      </c>
      <c r="G151" s="1">
        <v>150</v>
      </c>
      <c r="I151" s="1">
        <f ca="1">IFERROR(OFFSET(Data[[#This Row],[Balance]],-1,0)+Data[[#This Row],[Actual Income]]-Data[[#This Row],[Actual Expense]], Data[[#This Row],[Actual Income]])</f>
        <v>-6244.9</v>
      </c>
      <c r="J151" s="1">
        <f>IF(Data[[#This Row],[Category]]="Savings or Investments", Data[[#This Row],[Actual Expense]],0)</f>
        <v>150</v>
      </c>
    </row>
    <row r="152" spans="1:10" x14ac:dyDescent="0.2">
      <c r="A152" s="5" t="str">
        <f>TEXT(Data[[#This Row],[Date]],"yyyy")</f>
        <v>2021</v>
      </c>
      <c r="B152" s="5" t="str">
        <f>TEXT(Data[[#This Row],[Date]],"mmm")</f>
        <v>Apr</v>
      </c>
      <c r="C152" s="3">
        <v>44291</v>
      </c>
      <c r="D152" t="s">
        <v>199</v>
      </c>
      <c r="E152" t="s">
        <v>51</v>
      </c>
      <c r="F152" t="s">
        <v>163</v>
      </c>
      <c r="G152" s="1">
        <v>260</v>
      </c>
      <c r="I152" s="1">
        <f ca="1">IFERROR(OFFSET(Data[[#This Row],[Balance]],-1,0)+Data[[#This Row],[Actual Income]]-Data[[#This Row],[Actual Expense]], Data[[#This Row],[Actual Income]])</f>
        <v>-6504.9</v>
      </c>
      <c r="J152" s="1">
        <f>IF(Data[[#This Row],[Category]]="Savings or Investments", Data[[#This Row],[Actual Expense]],0)</f>
        <v>0</v>
      </c>
    </row>
    <row r="153" spans="1:10" x14ac:dyDescent="0.2">
      <c r="A153" s="5" t="str">
        <f>TEXT(Data[[#This Row],[Date]],"yyyy")</f>
        <v>2021</v>
      </c>
      <c r="B153" s="5" t="str">
        <f>TEXT(Data[[#This Row],[Date]],"mmm")</f>
        <v>Apr</v>
      </c>
      <c r="C153" s="3">
        <v>44291</v>
      </c>
      <c r="D153" t="s">
        <v>203</v>
      </c>
      <c r="E153" t="s">
        <v>44</v>
      </c>
      <c r="F153" t="s">
        <v>15</v>
      </c>
      <c r="G153" s="1">
        <v>5000</v>
      </c>
      <c r="I153" s="1">
        <f ca="1">IFERROR(OFFSET(Data[[#This Row],[Balance]],-1,0)+Data[[#This Row],[Actual Income]]-Data[[#This Row],[Actual Expense]], Data[[#This Row],[Actual Income]])</f>
        <v>-11504.9</v>
      </c>
      <c r="J153" s="1">
        <f>IF(Data[[#This Row],[Category]]="Savings or Investments", Data[[#This Row],[Actual Expense]],0)</f>
        <v>0</v>
      </c>
    </row>
    <row r="154" spans="1:10" x14ac:dyDescent="0.2">
      <c r="A154" s="5" t="str">
        <f>TEXT(Data[[#This Row],[Date]],"yyyy")</f>
        <v>2021</v>
      </c>
      <c r="B154" s="5" t="str">
        <f>TEXT(Data[[#This Row],[Date]],"mmm")</f>
        <v>Apr</v>
      </c>
      <c r="C154" s="3">
        <v>44291</v>
      </c>
      <c r="D154" t="s">
        <v>198</v>
      </c>
      <c r="E154" t="s">
        <v>31</v>
      </c>
      <c r="F154" t="s">
        <v>30</v>
      </c>
      <c r="G154" s="1">
        <v>41.66</v>
      </c>
      <c r="I154" s="1">
        <f ca="1">IFERROR(OFFSET(Data[[#This Row],[Balance]],-1,0)+Data[[#This Row],[Actual Income]]-Data[[#This Row],[Actual Expense]], Data[[#This Row],[Actual Income]])</f>
        <v>-11546.56</v>
      </c>
      <c r="J154" s="1">
        <f>IF(Data[[#This Row],[Category]]="Savings or Investments", Data[[#This Row],[Actual Expense]],0)</f>
        <v>0</v>
      </c>
    </row>
    <row r="155" spans="1:10" x14ac:dyDescent="0.2">
      <c r="A155" s="5" t="str">
        <f>TEXT(Data[[#This Row],[Date]],"yyyy")</f>
        <v>2021</v>
      </c>
      <c r="B155" s="5" t="str">
        <f>TEXT(Data[[#This Row],[Date]],"mmm")</f>
        <v>Apr</v>
      </c>
      <c r="C155" s="3">
        <v>44292</v>
      </c>
      <c r="D155" t="s">
        <v>59</v>
      </c>
      <c r="E155" t="s">
        <v>31</v>
      </c>
      <c r="F155" t="s">
        <v>55</v>
      </c>
      <c r="G155" s="1">
        <v>9.9600000000000009</v>
      </c>
      <c r="I155" s="1">
        <f ca="1">IFERROR(OFFSET(Data[[#This Row],[Balance]],-1,0)+Data[[#This Row],[Actual Income]]-Data[[#This Row],[Actual Expense]], Data[[#This Row],[Actual Income]])</f>
        <v>-11556.519999999999</v>
      </c>
      <c r="J155" s="1">
        <f>IF(Data[[#This Row],[Category]]="Savings or Investments", Data[[#This Row],[Actual Expense]],0)</f>
        <v>0</v>
      </c>
    </row>
    <row r="156" spans="1:10" x14ac:dyDescent="0.2">
      <c r="A156" s="5" t="str">
        <f>TEXT(Data[[#This Row],[Date]],"yyyy")</f>
        <v>2021</v>
      </c>
      <c r="B156" s="5" t="str">
        <f>TEXT(Data[[#This Row],[Date]],"mmm")</f>
        <v>Apr</v>
      </c>
      <c r="C156" s="3">
        <v>44292</v>
      </c>
      <c r="D156" t="s">
        <v>209</v>
      </c>
      <c r="E156" t="s">
        <v>31</v>
      </c>
      <c r="F156" t="s">
        <v>30</v>
      </c>
      <c r="G156" s="1">
        <v>22.21</v>
      </c>
      <c r="I156" s="1">
        <f ca="1">IFERROR(OFFSET(Data[[#This Row],[Balance]],-1,0)+Data[[#This Row],[Actual Income]]-Data[[#This Row],[Actual Expense]], Data[[#This Row],[Actual Income]])</f>
        <v>-11578.729999999998</v>
      </c>
      <c r="J156" s="1">
        <f>IF(Data[[#This Row],[Category]]="Savings or Investments", Data[[#This Row],[Actual Expense]],0)</f>
        <v>0</v>
      </c>
    </row>
    <row r="157" spans="1:10" x14ac:dyDescent="0.2">
      <c r="A157" s="5" t="str">
        <f>TEXT(Data[[#This Row],[Date]],"yyyy")</f>
        <v>2021</v>
      </c>
      <c r="B157" s="5" t="str">
        <f>TEXT(Data[[#This Row],[Date]],"mmm")</f>
        <v>Apr</v>
      </c>
      <c r="C157" s="3">
        <v>44292</v>
      </c>
      <c r="D157" t="s">
        <v>202</v>
      </c>
      <c r="E157" t="s">
        <v>44</v>
      </c>
      <c r="F157" t="s">
        <v>18</v>
      </c>
      <c r="G157" s="1">
        <v>930</v>
      </c>
      <c r="I157" s="1">
        <f ca="1">IFERROR(OFFSET(Data[[#This Row],[Balance]],-1,0)+Data[[#This Row],[Actual Income]]-Data[[#This Row],[Actual Expense]], Data[[#This Row],[Actual Income]])</f>
        <v>-12508.729999999998</v>
      </c>
      <c r="J157" s="1">
        <f>IF(Data[[#This Row],[Category]]="Savings or Investments", Data[[#This Row],[Actual Expense]],0)</f>
        <v>0</v>
      </c>
    </row>
    <row r="158" spans="1:10" x14ac:dyDescent="0.2">
      <c r="A158" s="5" t="str">
        <f>TEXT(Data[[#This Row],[Date]],"yyyy")</f>
        <v>2021</v>
      </c>
      <c r="B158" s="5" t="str">
        <f>TEXT(Data[[#This Row],[Date]],"mmm")</f>
        <v>Apr</v>
      </c>
      <c r="C158" s="3">
        <v>44292</v>
      </c>
      <c r="D158" t="s">
        <v>204</v>
      </c>
      <c r="E158" t="s">
        <v>81</v>
      </c>
      <c r="F158" t="s">
        <v>205</v>
      </c>
      <c r="G158" s="1"/>
      <c r="H158">
        <v>54.14</v>
      </c>
      <c r="I158" s="1">
        <f ca="1">IFERROR(OFFSET(Data[[#This Row],[Balance]],-1,0)+Data[[#This Row],[Actual Income]]-Data[[#This Row],[Actual Expense]], Data[[#This Row],[Actual Income]])</f>
        <v>-12454.589999999998</v>
      </c>
      <c r="J158" s="1">
        <f>IF(Data[[#This Row],[Category]]="Savings or Investments", Data[[#This Row],[Actual Expense]],0)</f>
        <v>0</v>
      </c>
    </row>
    <row r="159" spans="1:10" x14ac:dyDescent="0.2">
      <c r="A159" s="5" t="str">
        <f>TEXT(Data[[#This Row],[Date]],"yyyy")</f>
        <v>2021</v>
      </c>
      <c r="B159" s="5" t="str">
        <f>TEXT(Data[[#This Row],[Date]],"mmm")</f>
        <v>Apr</v>
      </c>
      <c r="C159" s="3">
        <v>44293</v>
      </c>
      <c r="D159" t="s">
        <v>206</v>
      </c>
      <c r="E159" t="s">
        <v>81</v>
      </c>
      <c r="F159" t="s">
        <v>178</v>
      </c>
      <c r="G159" s="1"/>
      <c r="H159">
        <v>1.23</v>
      </c>
      <c r="I159" s="1">
        <f ca="1">IFERROR(OFFSET(Data[[#This Row],[Balance]],-1,0)+Data[[#This Row],[Actual Income]]-Data[[#This Row],[Actual Expense]], Data[[#This Row],[Actual Income]])</f>
        <v>-12453.359999999999</v>
      </c>
      <c r="J159" s="1">
        <f>IF(Data[[#This Row],[Category]]="Savings or Investments", Data[[#This Row],[Actual Expense]],0)</f>
        <v>0</v>
      </c>
    </row>
    <row r="160" spans="1:10" x14ac:dyDescent="0.2">
      <c r="A160" s="5" t="str">
        <f>TEXT(Data[[#This Row],[Date]],"yyyy")</f>
        <v>2021</v>
      </c>
      <c r="B160" s="5" t="str">
        <f>TEXT(Data[[#This Row],[Date]],"mmm")</f>
        <v>Apr</v>
      </c>
      <c r="C160" s="3">
        <v>44294</v>
      </c>
      <c r="D160" t="s">
        <v>210</v>
      </c>
      <c r="E160" t="s">
        <v>53</v>
      </c>
      <c r="F160" t="s">
        <v>77</v>
      </c>
      <c r="G160" s="1">
        <v>28.11</v>
      </c>
      <c r="I160" s="1">
        <f ca="1">IFERROR(OFFSET(Data[[#This Row],[Balance]],-1,0)+Data[[#This Row],[Actual Income]]-Data[[#This Row],[Actual Expense]], Data[[#This Row],[Actual Income]])</f>
        <v>-12481.47</v>
      </c>
      <c r="J160" s="1">
        <f>IF(Data[[#This Row],[Category]]="Savings or Investments", Data[[#This Row],[Actual Expense]],0)</f>
        <v>0</v>
      </c>
    </row>
    <row r="161" spans="1:10" x14ac:dyDescent="0.2">
      <c r="A161" s="5" t="str">
        <f>TEXT(Data[[#This Row],[Date]],"yyyy")</f>
        <v>2021</v>
      </c>
      <c r="B161" s="5" t="str">
        <f>TEXT(Data[[#This Row],[Date]],"mmm")</f>
        <v>Apr</v>
      </c>
      <c r="C161" s="3">
        <v>44294</v>
      </c>
      <c r="D161" t="s">
        <v>211</v>
      </c>
      <c r="E161" t="s">
        <v>44</v>
      </c>
      <c r="F161" t="s">
        <v>212</v>
      </c>
      <c r="G161" s="1">
        <f>104.68-28.12</f>
        <v>76.56</v>
      </c>
      <c r="I161" s="1">
        <f ca="1">IFERROR(OFFSET(Data[[#This Row],[Balance]],-1,0)+Data[[#This Row],[Actual Income]]-Data[[#This Row],[Actual Expense]], Data[[#This Row],[Actual Income]])</f>
        <v>-12558.029999999999</v>
      </c>
      <c r="J161" s="1">
        <f>IF(Data[[#This Row],[Category]]="Savings or Investments", Data[[#This Row],[Actual Expense]],0)</f>
        <v>0</v>
      </c>
    </row>
    <row r="162" spans="1:10" x14ac:dyDescent="0.2">
      <c r="A162" s="5" t="str">
        <f>TEXT(Data[[#This Row],[Date]],"yyyy")</f>
        <v>2021</v>
      </c>
      <c r="B162" s="5" t="str">
        <f>TEXT(Data[[#This Row],[Date]],"mmm")</f>
        <v>Apr</v>
      </c>
      <c r="C162" s="3">
        <v>44295</v>
      </c>
      <c r="D162" t="s">
        <v>211</v>
      </c>
      <c r="E162" t="s">
        <v>44</v>
      </c>
      <c r="F162" t="s">
        <v>212</v>
      </c>
      <c r="G162" s="1">
        <v>4.7300000000000004</v>
      </c>
      <c r="I162" s="1">
        <f ca="1">IFERROR(OFFSET(Data[[#This Row],[Balance]],-1,0)+Data[[#This Row],[Actual Income]]-Data[[#This Row],[Actual Expense]], Data[[#This Row],[Actual Income]])</f>
        <v>-12562.759999999998</v>
      </c>
      <c r="J162" s="1">
        <f>IF(Data[[#This Row],[Category]]="Savings or Investments", Data[[#This Row],[Actual Expense]],0)</f>
        <v>0</v>
      </c>
    </row>
    <row r="163" spans="1:10" x14ac:dyDescent="0.2">
      <c r="A163" s="5" t="str">
        <f>TEXT(Data[[#This Row],[Date]],"yyyy")</f>
        <v>2021</v>
      </c>
      <c r="B163" s="5" t="str">
        <f>TEXT(Data[[#This Row],[Date]],"mmm")</f>
        <v>Apr</v>
      </c>
      <c r="C163" s="3">
        <v>44295</v>
      </c>
      <c r="D163" t="s">
        <v>213</v>
      </c>
      <c r="E163" t="s">
        <v>44</v>
      </c>
      <c r="F163" t="s">
        <v>212</v>
      </c>
      <c r="G163" s="1">
        <v>21.51</v>
      </c>
      <c r="I163" s="1">
        <f ca="1">IFERROR(OFFSET(Data[[#This Row],[Balance]],-1,0)+Data[[#This Row],[Actual Income]]-Data[[#This Row],[Actual Expense]], Data[[#This Row],[Actual Income]])</f>
        <v>-12584.269999999999</v>
      </c>
      <c r="J163" s="1">
        <f>IF(Data[[#This Row],[Category]]="Savings or Investments", Data[[#This Row],[Actual Expense]],0)</f>
        <v>0</v>
      </c>
    </row>
    <row r="164" spans="1:10" x14ac:dyDescent="0.2">
      <c r="A164" s="5" t="str">
        <f>TEXT(Data[[#This Row],[Date]],"yyyy")</f>
        <v>2021</v>
      </c>
      <c r="B164" s="5" t="str">
        <f>TEXT(Data[[#This Row],[Date]],"mmm")</f>
        <v>Apr</v>
      </c>
      <c r="C164" s="3">
        <v>44295</v>
      </c>
      <c r="D164" t="s">
        <v>83</v>
      </c>
      <c r="E164" t="s">
        <v>81</v>
      </c>
      <c r="F164" t="s">
        <v>174</v>
      </c>
      <c r="G164" s="1"/>
      <c r="H164">
        <v>1932.09</v>
      </c>
      <c r="I164" s="1">
        <f ca="1">IFERROR(OFFSET(Data[[#This Row],[Balance]],-1,0)+Data[[#This Row],[Actual Income]]-Data[[#This Row],[Actual Expense]], Data[[#This Row],[Actual Income]])</f>
        <v>-10652.179999999998</v>
      </c>
      <c r="J164" s="1">
        <f>IF(Data[[#This Row],[Category]]="Savings or Investments", Data[[#This Row],[Actual Expense]],0)</f>
        <v>0</v>
      </c>
    </row>
    <row r="165" spans="1:10" x14ac:dyDescent="0.2">
      <c r="A165" s="5" t="str">
        <f>TEXT(Data[[#This Row],[Date]],"yyyy")</f>
        <v>2021</v>
      </c>
      <c r="B165" s="5" t="str">
        <f>TEXT(Data[[#This Row],[Date]],"mmm")</f>
        <v>Apr</v>
      </c>
      <c r="C165" s="3">
        <v>44296</v>
      </c>
      <c r="D165" t="s">
        <v>214</v>
      </c>
      <c r="E165" t="s">
        <v>53</v>
      </c>
      <c r="F165" t="s">
        <v>188</v>
      </c>
      <c r="G165" s="1">
        <v>28.12</v>
      </c>
      <c r="I165" s="1">
        <f ca="1">IFERROR(OFFSET(Data[[#This Row],[Balance]],-1,0)+Data[[#This Row],[Actual Income]]-Data[[#This Row],[Actual Expense]], Data[[#This Row],[Actual Income]])</f>
        <v>-10680.3</v>
      </c>
      <c r="J165" s="1">
        <f>IF(Data[[#This Row],[Category]]="Savings or Investments", Data[[#This Row],[Actual Expense]],0)</f>
        <v>0</v>
      </c>
    </row>
    <row r="166" spans="1:10" x14ac:dyDescent="0.2">
      <c r="A166" s="5" t="str">
        <f>TEXT(Data[[#This Row],[Date]],"yyyy")</f>
        <v>2021</v>
      </c>
      <c r="B166" s="5" t="str">
        <f>TEXT(Data[[#This Row],[Date]],"mmm")</f>
        <v>Apr</v>
      </c>
      <c r="C166" s="3">
        <v>44297</v>
      </c>
      <c r="D166" t="s">
        <v>213</v>
      </c>
      <c r="E166" t="s">
        <v>44</v>
      </c>
      <c r="F166" t="s">
        <v>212</v>
      </c>
      <c r="G166" s="1">
        <v>3.76</v>
      </c>
      <c r="I166" s="1">
        <f ca="1">IFERROR(OFFSET(Data[[#This Row],[Balance]],-1,0)+Data[[#This Row],[Actual Income]]-Data[[#This Row],[Actual Expense]], Data[[#This Row],[Actual Income]])</f>
        <v>-10684.06</v>
      </c>
      <c r="J166" s="1">
        <f>IF(Data[[#This Row],[Category]]="Savings or Investments", Data[[#This Row],[Actual Expense]],0)</f>
        <v>0</v>
      </c>
    </row>
    <row r="167" spans="1:10" x14ac:dyDescent="0.2">
      <c r="A167" s="5" t="str">
        <f>TEXT(Data[[#This Row],[Date]],"yyyy")</f>
        <v>2021</v>
      </c>
      <c r="B167" s="5" t="str">
        <f>TEXT(Data[[#This Row],[Date]],"mmm")</f>
        <v>Apr</v>
      </c>
      <c r="C167" s="3">
        <v>44298</v>
      </c>
      <c r="D167" t="s">
        <v>215</v>
      </c>
      <c r="E167" t="s">
        <v>31</v>
      </c>
      <c r="F167" t="s">
        <v>30</v>
      </c>
      <c r="G167" s="1">
        <v>16.760000000000002</v>
      </c>
      <c r="I167" s="1">
        <f ca="1">IFERROR(OFFSET(Data[[#This Row],[Balance]],-1,0)+Data[[#This Row],[Actual Income]]-Data[[#This Row],[Actual Expense]], Data[[#This Row],[Actual Income]])</f>
        <v>-10700.82</v>
      </c>
      <c r="J167" s="1">
        <f>IF(Data[[#This Row],[Category]]="Savings or Investments", Data[[#This Row],[Actual Expense]],0)</f>
        <v>0</v>
      </c>
    </row>
    <row r="168" spans="1:10" x14ac:dyDescent="0.2">
      <c r="A168" s="5" t="str">
        <f>TEXT(Data[[#This Row],[Date]],"yyyy")</f>
        <v>2021</v>
      </c>
      <c r="B168" s="5" t="str">
        <f>TEXT(Data[[#This Row],[Date]],"mmm")</f>
        <v>Apr</v>
      </c>
      <c r="C168" s="3">
        <v>44298</v>
      </c>
      <c r="D168" t="s">
        <v>213</v>
      </c>
      <c r="E168" t="s">
        <v>44</v>
      </c>
      <c r="F168" t="s">
        <v>212</v>
      </c>
      <c r="G168" s="1">
        <v>22.7</v>
      </c>
      <c r="I168" s="1">
        <f ca="1">IFERROR(OFFSET(Data[[#This Row],[Balance]],-1,0)+Data[[#This Row],[Actual Income]]-Data[[#This Row],[Actual Expense]], Data[[#This Row],[Actual Income]])</f>
        <v>-10723.52</v>
      </c>
      <c r="J168" s="1">
        <f>IF(Data[[#This Row],[Category]]="Savings or Investments", Data[[#This Row],[Actual Expense]],0)</f>
        <v>0</v>
      </c>
    </row>
    <row r="169" spans="1:10" x14ac:dyDescent="0.2">
      <c r="A169" s="5" t="str">
        <f>TEXT(Data[[#This Row],[Date]],"yyyy")</f>
        <v>2021</v>
      </c>
      <c r="B169" s="5" t="str">
        <f>TEXT(Data[[#This Row],[Date]],"mmm")</f>
        <v>Apr</v>
      </c>
      <c r="C169" s="3">
        <v>44299</v>
      </c>
      <c r="D169" t="s">
        <v>172</v>
      </c>
      <c r="E169" t="s">
        <v>48</v>
      </c>
      <c r="F169" t="s">
        <v>70</v>
      </c>
      <c r="G169" s="1">
        <v>150</v>
      </c>
      <c r="I169" s="1">
        <f ca="1">IFERROR(OFFSET(Data[[#This Row],[Balance]],-1,0)+Data[[#This Row],[Actual Income]]-Data[[#This Row],[Actual Expense]], Data[[#This Row],[Actual Income]])</f>
        <v>-10873.52</v>
      </c>
      <c r="J169" s="1">
        <f>IF(Data[[#This Row],[Category]]="Savings or Investments", Data[[#This Row],[Actual Expense]],0)</f>
        <v>150</v>
      </c>
    </row>
    <row r="170" spans="1:10" x14ac:dyDescent="0.2">
      <c r="A170" s="5" t="str">
        <f>TEXT(Data[[#This Row],[Date]],"yyyy")</f>
        <v>2021</v>
      </c>
      <c r="B170" s="5" t="str">
        <f>TEXT(Data[[#This Row],[Date]],"mmm")</f>
        <v>Apr</v>
      </c>
      <c r="C170" s="3">
        <v>44299</v>
      </c>
      <c r="D170" t="s">
        <v>207</v>
      </c>
      <c r="E170" t="s">
        <v>43</v>
      </c>
      <c r="F170" t="s">
        <v>208</v>
      </c>
      <c r="G170" s="1">
        <f>161+163.82</f>
        <v>324.82</v>
      </c>
      <c r="I170" s="1">
        <f ca="1">IFERROR(OFFSET(Data[[#This Row],[Balance]],-1,0)+Data[[#This Row],[Actual Income]]-Data[[#This Row],[Actual Expense]], Data[[#This Row],[Actual Income]])</f>
        <v>-11198.34</v>
      </c>
      <c r="J170" s="1">
        <f>IF(Data[[#This Row],[Category]]="Savings or Investments", Data[[#This Row],[Actual Expense]],0)</f>
        <v>0</v>
      </c>
    </row>
    <row r="171" spans="1:10" x14ac:dyDescent="0.2">
      <c r="A171" s="5" t="str">
        <f>TEXT(Data[[#This Row],[Date]],"yyyy")</f>
        <v>2021</v>
      </c>
      <c r="B171" s="5" t="str">
        <f>TEXT(Data[[#This Row],[Date]],"mmm")</f>
        <v>Apr</v>
      </c>
      <c r="C171" s="3">
        <v>44300</v>
      </c>
      <c r="D171" t="s">
        <v>59</v>
      </c>
      <c r="E171" t="s">
        <v>31</v>
      </c>
      <c r="F171" t="s">
        <v>55</v>
      </c>
      <c r="G171" s="1">
        <v>9.9600000000000009</v>
      </c>
      <c r="I171" s="1">
        <f ca="1">IFERROR(OFFSET(Data[[#This Row],[Balance]],-1,0)+Data[[#This Row],[Actual Income]]-Data[[#This Row],[Actual Expense]], Data[[#This Row],[Actual Income]])</f>
        <v>-11208.3</v>
      </c>
      <c r="J171" s="1">
        <f>IF(Data[[#This Row],[Category]]="Savings or Investments", Data[[#This Row],[Actual Expense]],0)</f>
        <v>0</v>
      </c>
    </row>
    <row r="172" spans="1:10" x14ac:dyDescent="0.2">
      <c r="A172" s="5" t="str">
        <f>TEXT(Data[[#This Row],[Date]],"yyyy")</f>
        <v>2021</v>
      </c>
      <c r="B172" s="5" t="str">
        <f>TEXT(Data[[#This Row],[Date]],"mmm")</f>
        <v>Apr</v>
      </c>
      <c r="C172" s="3">
        <v>44300</v>
      </c>
      <c r="D172" t="s">
        <v>114</v>
      </c>
      <c r="E172" t="s">
        <v>48</v>
      </c>
      <c r="F172" t="s">
        <v>28</v>
      </c>
      <c r="G172" s="1">
        <v>400</v>
      </c>
      <c r="I172" s="1">
        <f ca="1">IFERROR(OFFSET(Data[[#This Row],[Balance]],-1,0)+Data[[#This Row],[Actual Income]]-Data[[#This Row],[Actual Expense]], Data[[#This Row],[Actual Income]])</f>
        <v>-11608.3</v>
      </c>
      <c r="J172" s="1">
        <f>IF(Data[[#This Row],[Category]]="Savings or Investments", Data[[#This Row],[Actual Expense]],0)</f>
        <v>400</v>
      </c>
    </row>
    <row r="173" spans="1:10" x14ac:dyDescent="0.2">
      <c r="A173" s="5" t="str">
        <f>TEXT(Data[[#This Row],[Date]],"yyyy")</f>
        <v>2021</v>
      </c>
      <c r="B173" s="5" t="str">
        <f>TEXT(Data[[#This Row],[Date]],"mmm")</f>
        <v>Apr</v>
      </c>
      <c r="C173" s="3">
        <v>44300</v>
      </c>
      <c r="D173" t="s">
        <v>114</v>
      </c>
      <c r="E173" t="s">
        <v>48</v>
      </c>
      <c r="F173" t="s">
        <v>28</v>
      </c>
      <c r="G173" s="1">
        <v>400</v>
      </c>
      <c r="I173" s="1">
        <f ca="1">IFERROR(OFFSET(Data[[#This Row],[Balance]],-1,0)+Data[[#This Row],[Actual Income]]-Data[[#This Row],[Actual Expense]], Data[[#This Row],[Actual Income]])</f>
        <v>-12008.3</v>
      </c>
      <c r="J173" s="1">
        <f>IF(Data[[#This Row],[Category]]="Savings or Investments", Data[[#This Row],[Actual Expense]],0)</f>
        <v>400</v>
      </c>
    </row>
    <row r="174" spans="1:10" x14ac:dyDescent="0.2">
      <c r="A174" s="5" t="str">
        <f>TEXT(Data[[#This Row],[Date]],"yyyy")</f>
        <v>2021</v>
      </c>
      <c r="B174" s="5" t="str">
        <f>TEXT(Data[[#This Row],[Date]],"mmm")</f>
        <v>Apr</v>
      </c>
      <c r="C174" s="3">
        <v>44301</v>
      </c>
      <c r="D174" t="s">
        <v>54</v>
      </c>
      <c r="E174" t="s">
        <v>48</v>
      </c>
      <c r="F174" t="s">
        <v>70</v>
      </c>
      <c r="G174" s="1">
        <v>100</v>
      </c>
      <c r="I174" s="1">
        <f ca="1">IFERROR(OFFSET(Data[[#This Row],[Balance]],-1,0)+Data[[#This Row],[Actual Income]]-Data[[#This Row],[Actual Expense]], Data[[#This Row],[Actual Income]])</f>
        <v>-12108.3</v>
      </c>
      <c r="J174" s="1">
        <f>IF(Data[[#This Row],[Category]]="Savings or Investments", Data[[#This Row],[Actual Expense]],0)</f>
        <v>100</v>
      </c>
    </row>
    <row r="175" spans="1:10" x14ac:dyDescent="0.2">
      <c r="A175" s="5" t="str">
        <f>TEXT(Data[[#This Row],[Date]],"yyyy")</f>
        <v>2021</v>
      </c>
      <c r="B175" s="5" t="str">
        <f>TEXT(Data[[#This Row],[Date]],"mmm")</f>
        <v>Apr</v>
      </c>
      <c r="C175" s="3">
        <v>44301</v>
      </c>
      <c r="D175" t="s">
        <v>221</v>
      </c>
      <c r="E175" t="s">
        <v>42</v>
      </c>
      <c r="F175" t="s">
        <v>1</v>
      </c>
      <c r="G175" s="1">
        <v>392.01</v>
      </c>
      <c r="I175" s="1">
        <f ca="1">IFERROR(OFFSET(Data[[#This Row],[Balance]],-1,0)+Data[[#This Row],[Actual Income]]-Data[[#This Row],[Actual Expense]], Data[[#This Row],[Actual Income]])</f>
        <v>-12500.31</v>
      </c>
      <c r="J175" s="1">
        <f>IF(Data[[#This Row],[Category]]="Savings or Investments", Data[[#This Row],[Actual Expense]],0)</f>
        <v>0</v>
      </c>
    </row>
    <row r="176" spans="1:10" x14ac:dyDescent="0.2">
      <c r="A176" s="5" t="str">
        <f>TEXT(Data[[#This Row],[Date]],"yyyy")</f>
        <v>2021</v>
      </c>
      <c r="B176" s="5" t="str">
        <f>TEXT(Data[[#This Row],[Date]],"mmm")</f>
        <v>Apr</v>
      </c>
      <c r="C176" s="3">
        <v>44302</v>
      </c>
      <c r="D176" t="s">
        <v>59</v>
      </c>
      <c r="E176" t="s">
        <v>31</v>
      </c>
      <c r="F176" t="s">
        <v>55</v>
      </c>
      <c r="G176" s="1">
        <v>18.940000000000001</v>
      </c>
      <c r="I176" s="1">
        <f ca="1">IFERROR(OFFSET(Data[[#This Row],[Balance]],-1,0)+Data[[#This Row],[Actual Income]]-Data[[#This Row],[Actual Expense]], Data[[#This Row],[Actual Income]])</f>
        <v>-12519.25</v>
      </c>
      <c r="J176" s="1">
        <f>IF(Data[[#This Row],[Category]]="Savings or Investments", Data[[#This Row],[Actual Expense]],0)</f>
        <v>0</v>
      </c>
    </row>
    <row r="177" spans="1:10" x14ac:dyDescent="0.2">
      <c r="A177" s="5" t="str">
        <f>TEXT(Data[[#This Row],[Date]],"yyyy")</f>
        <v>2021</v>
      </c>
      <c r="B177" s="5" t="str">
        <f>TEXT(Data[[#This Row],[Date]],"mmm")</f>
        <v>Apr</v>
      </c>
      <c r="C177" s="3">
        <v>44303</v>
      </c>
      <c r="D177" t="s">
        <v>220</v>
      </c>
      <c r="E177" t="s">
        <v>31</v>
      </c>
      <c r="F177" t="s">
        <v>55</v>
      </c>
      <c r="G177" s="1">
        <v>11.15</v>
      </c>
      <c r="I177" s="1">
        <f ca="1">IFERROR(OFFSET(Data[[#This Row],[Balance]],-1,0)+Data[[#This Row],[Actual Income]]-Data[[#This Row],[Actual Expense]], Data[[#This Row],[Actual Income]])</f>
        <v>-12530.4</v>
      </c>
      <c r="J177" s="1">
        <f>IF(Data[[#This Row],[Category]]="Savings or Investments", Data[[#This Row],[Actual Expense]],0)</f>
        <v>0</v>
      </c>
    </row>
    <row r="178" spans="1:10" x14ac:dyDescent="0.2">
      <c r="A178" s="5" t="str">
        <f>TEXT(Data[[#This Row],[Date]],"yyyy")</f>
        <v>2021</v>
      </c>
      <c r="B178" s="5" t="str">
        <f>TEXT(Data[[#This Row],[Date]],"mmm")</f>
        <v>Apr</v>
      </c>
      <c r="C178" s="3">
        <v>44303</v>
      </c>
      <c r="D178" t="s">
        <v>219</v>
      </c>
      <c r="E178" t="s">
        <v>31</v>
      </c>
      <c r="F178" t="s">
        <v>30</v>
      </c>
      <c r="G178" s="1">
        <f>73.23/4</f>
        <v>18.307500000000001</v>
      </c>
      <c r="I178" s="1">
        <f ca="1">IFERROR(OFFSET(Data[[#This Row],[Balance]],-1,0)+Data[[#This Row],[Actual Income]]-Data[[#This Row],[Actual Expense]], Data[[#This Row],[Actual Income]])</f>
        <v>-12548.7075</v>
      </c>
      <c r="J178" s="1">
        <f>IF(Data[[#This Row],[Category]]="Savings or Investments", Data[[#This Row],[Actual Expense]],0)</f>
        <v>0</v>
      </c>
    </row>
    <row r="179" spans="1:10" x14ac:dyDescent="0.2">
      <c r="A179" s="5" t="str">
        <f>TEXT(Data[[#This Row],[Date]],"yyyy")</f>
        <v>2021</v>
      </c>
      <c r="B179" s="5" t="str">
        <f>TEXT(Data[[#This Row],[Date]],"mmm")</f>
        <v>Apr</v>
      </c>
      <c r="C179" s="3">
        <v>44303</v>
      </c>
      <c r="D179" t="s">
        <v>164</v>
      </c>
      <c r="E179" t="s">
        <v>44</v>
      </c>
      <c r="F179" t="s">
        <v>19</v>
      </c>
      <c r="G179" s="1">
        <f>25.43-6.6</f>
        <v>18.829999999999998</v>
      </c>
      <c r="I179" s="1">
        <f ca="1">IFERROR(OFFSET(Data[[#This Row],[Balance]],-1,0)+Data[[#This Row],[Actual Income]]-Data[[#This Row],[Actual Expense]], Data[[#This Row],[Actual Income]])</f>
        <v>-12567.5375</v>
      </c>
      <c r="J179" s="1">
        <f>IF(Data[[#This Row],[Category]]="Savings or Investments", Data[[#This Row],[Actual Expense]],0)</f>
        <v>0</v>
      </c>
    </row>
    <row r="180" spans="1:10" x14ac:dyDescent="0.2">
      <c r="A180" s="5" t="str">
        <f>TEXT(Data[[#This Row],[Date]],"yyyy")</f>
        <v>2021</v>
      </c>
      <c r="B180" s="5" t="str">
        <f>TEXT(Data[[#This Row],[Date]],"mmm")</f>
        <v>Apr</v>
      </c>
      <c r="C180" s="3">
        <v>44304</v>
      </c>
      <c r="D180" t="s">
        <v>59</v>
      </c>
      <c r="E180" t="s">
        <v>31</v>
      </c>
      <c r="F180" t="s">
        <v>55</v>
      </c>
      <c r="G180" s="1">
        <v>9.26</v>
      </c>
      <c r="I180" s="1">
        <f ca="1">IFERROR(OFFSET(Data[[#This Row],[Balance]],-1,0)+Data[[#This Row],[Actual Income]]-Data[[#This Row],[Actual Expense]], Data[[#This Row],[Actual Income]])</f>
        <v>-12576.797500000001</v>
      </c>
      <c r="J180" s="1">
        <f>IF(Data[[#This Row],[Category]]="Savings or Investments", Data[[#This Row],[Actual Expense]],0)</f>
        <v>0</v>
      </c>
    </row>
    <row r="181" spans="1:10" x14ac:dyDescent="0.2">
      <c r="A181" s="5" t="str">
        <f>TEXT(Data[[#This Row],[Date]],"yyyy")</f>
        <v>2021</v>
      </c>
      <c r="B181" s="5" t="str">
        <f>TEXT(Data[[#This Row],[Date]],"mmm")</f>
        <v>Apr</v>
      </c>
      <c r="C181" s="3">
        <v>44305</v>
      </c>
      <c r="D181" t="s">
        <v>227</v>
      </c>
      <c r="E181" t="s">
        <v>48</v>
      </c>
      <c r="F181" t="s">
        <v>70</v>
      </c>
      <c r="G181" s="1">
        <v>150</v>
      </c>
      <c r="I181" s="1">
        <f ca="1">IFERROR(OFFSET(Data[[#This Row],[Balance]],-1,0)+Data[[#This Row],[Actual Income]]-Data[[#This Row],[Actual Expense]], Data[[#This Row],[Actual Income]])</f>
        <v>-12726.797500000001</v>
      </c>
      <c r="J181" s="1">
        <f>IF(Data[[#This Row],[Category]]="Savings or Investments", Data[[#This Row],[Actual Expense]],0)</f>
        <v>150</v>
      </c>
    </row>
    <row r="182" spans="1:10" x14ac:dyDescent="0.2">
      <c r="A182" s="5" t="str">
        <f>TEXT(Data[[#This Row],[Date]],"yyyy")</f>
        <v>2021</v>
      </c>
      <c r="B182" s="5" t="str">
        <f>TEXT(Data[[#This Row],[Date]],"mmm")</f>
        <v>Apr</v>
      </c>
      <c r="C182" s="3">
        <v>44305</v>
      </c>
      <c r="D182" t="s">
        <v>54</v>
      </c>
      <c r="E182" t="s">
        <v>48</v>
      </c>
      <c r="F182" t="s">
        <v>70</v>
      </c>
      <c r="G182" s="1">
        <v>200</v>
      </c>
      <c r="I182" s="1">
        <f ca="1">IFERROR(OFFSET(Data[[#This Row],[Balance]],-1,0)+Data[[#This Row],[Actual Income]]-Data[[#This Row],[Actual Expense]], Data[[#This Row],[Actual Income]])</f>
        <v>-12926.797500000001</v>
      </c>
      <c r="J182" s="1">
        <f>IF(Data[[#This Row],[Category]]="Savings or Investments", Data[[#This Row],[Actual Expense]],0)</f>
        <v>200</v>
      </c>
    </row>
    <row r="183" spans="1:10" x14ac:dyDescent="0.2">
      <c r="A183" s="5" t="str">
        <f>TEXT(Data[[#This Row],[Date]],"yyyy")</f>
        <v>2021</v>
      </c>
      <c r="B183" s="5" t="str">
        <f>TEXT(Data[[#This Row],[Date]],"mmm")</f>
        <v>Apr</v>
      </c>
      <c r="C183" s="3">
        <v>44305</v>
      </c>
      <c r="D183" t="s">
        <v>228</v>
      </c>
      <c r="E183" t="s">
        <v>81</v>
      </c>
      <c r="F183" t="s">
        <v>175</v>
      </c>
      <c r="G183" s="1"/>
      <c r="H183">
        <v>1001.45</v>
      </c>
      <c r="I183" s="1">
        <f ca="1">IFERROR(OFFSET(Data[[#This Row],[Balance]],-1,0)+Data[[#This Row],[Actual Income]]-Data[[#This Row],[Actual Expense]], Data[[#This Row],[Actual Income]])</f>
        <v>-11925.3475</v>
      </c>
      <c r="J183" s="1">
        <f>IF(Data[[#This Row],[Category]]="Savings or Investments", Data[[#This Row],[Actual Expense]],0)</f>
        <v>0</v>
      </c>
    </row>
    <row r="184" spans="1:10" x14ac:dyDescent="0.2">
      <c r="A184" s="5" t="str">
        <f>TEXT(Data[[#This Row],[Date]],"yyyy")</f>
        <v>2021</v>
      </c>
      <c r="B184" s="5" t="str">
        <f>TEXT(Data[[#This Row],[Date]],"mmm")</f>
        <v>Apr</v>
      </c>
      <c r="C184" s="3">
        <v>44307</v>
      </c>
      <c r="D184" t="s">
        <v>218</v>
      </c>
      <c r="E184" t="s">
        <v>31</v>
      </c>
      <c r="F184" t="s">
        <v>30</v>
      </c>
      <c r="G184" s="1">
        <f>55/2</f>
        <v>27.5</v>
      </c>
      <c r="I184" s="1">
        <f ca="1">IFERROR(OFFSET(Data[[#This Row],[Balance]],-1,0)+Data[[#This Row],[Actual Income]]-Data[[#This Row],[Actual Expense]], Data[[#This Row],[Actual Income]])</f>
        <v>-11952.8475</v>
      </c>
      <c r="J184" s="1">
        <f>IF(Data[[#This Row],[Category]]="Savings or Investments", Data[[#This Row],[Actual Expense]],0)</f>
        <v>0</v>
      </c>
    </row>
    <row r="185" spans="1:10" x14ac:dyDescent="0.2">
      <c r="A185" s="5" t="str">
        <f>TEXT(Data[[#This Row],[Date]],"yyyy")</f>
        <v>2021</v>
      </c>
      <c r="B185" s="5" t="str">
        <f>TEXT(Data[[#This Row],[Date]],"mmm")</f>
        <v>Apr</v>
      </c>
      <c r="C185" s="3">
        <v>44308</v>
      </c>
      <c r="D185" t="s">
        <v>191</v>
      </c>
      <c r="E185" t="s">
        <v>31</v>
      </c>
      <c r="F185" t="s">
        <v>30</v>
      </c>
      <c r="G185" s="1">
        <v>9.23</v>
      </c>
      <c r="I185" s="1">
        <f ca="1">IFERROR(OFFSET(Data[[#This Row],[Balance]],-1,0)+Data[[#This Row],[Actual Income]]-Data[[#This Row],[Actual Expense]], Data[[#This Row],[Actual Income]])</f>
        <v>-11962.077499999999</v>
      </c>
      <c r="J185" s="1">
        <f>IF(Data[[#This Row],[Category]]="Savings or Investments", Data[[#This Row],[Actual Expense]],0)</f>
        <v>0</v>
      </c>
    </row>
    <row r="186" spans="1:10" x14ac:dyDescent="0.2">
      <c r="A186" s="5" t="str">
        <f>TEXT(Data[[#This Row],[Date]],"yyyy")</f>
        <v>2021</v>
      </c>
      <c r="B186" s="5" t="str">
        <f>TEXT(Data[[#This Row],[Date]],"mmm")</f>
        <v>Apr</v>
      </c>
      <c r="C186" s="3">
        <v>44308</v>
      </c>
      <c r="D186" t="s">
        <v>99</v>
      </c>
      <c r="E186" t="s">
        <v>31</v>
      </c>
      <c r="F186" t="s">
        <v>29</v>
      </c>
      <c r="G186" s="1">
        <v>38.97</v>
      </c>
      <c r="I186" s="1">
        <f ca="1">IFERROR(OFFSET(Data[[#This Row],[Balance]],-1,0)+Data[[#This Row],[Actual Income]]-Data[[#This Row],[Actual Expense]], Data[[#This Row],[Actual Income]])</f>
        <v>-12001.047499999999</v>
      </c>
      <c r="J186" s="1">
        <f>IF(Data[[#This Row],[Category]]="Savings or Investments", Data[[#This Row],[Actual Expense]],0)</f>
        <v>0</v>
      </c>
    </row>
    <row r="187" spans="1:10" x14ac:dyDescent="0.2">
      <c r="A187" s="5" t="str">
        <f>TEXT(Data[[#This Row],[Date]],"yyyy")</f>
        <v>2021</v>
      </c>
      <c r="B187" s="5" t="str">
        <f>TEXT(Data[[#This Row],[Date]],"mmm")</f>
        <v>Apr</v>
      </c>
      <c r="C187" s="3">
        <v>44309</v>
      </c>
      <c r="D187" t="s">
        <v>59</v>
      </c>
      <c r="E187" t="s">
        <v>31</v>
      </c>
      <c r="F187" t="s">
        <v>55</v>
      </c>
      <c r="G187" s="1">
        <v>10.72</v>
      </c>
      <c r="I187" s="1">
        <f ca="1">IFERROR(OFFSET(Data[[#This Row],[Balance]],-1,0)+Data[[#This Row],[Actual Income]]-Data[[#This Row],[Actual Expense]], Data[[#This Row],[Actual Income]])</f>
        <v>-12011.767499999998</v>
      </c>
      <c r="J187" s="1">
        <f>IF(Data[[#This Row],[Category]]="Savings or Investments", Data[[#This Row],[Actual Expense]],0)</f>
        <v>0</v>
      </c>
    </row>
    <row r="188" spans="1:10" x14ac:dyDescent="0.2">
      <c r="A188" s="5" t="str">
        <f>TEXT(Data[[#This Row],[Date]],"yyyy")</f>
        <v>2021</v>
      </c>
      <c r="B188" s="5" t="str">
        <f>TEXT(Data[[#This Row],[Date]],"mmm")</f>
        <v>Apr</v>
      </c>
      <c r="C188" s="3">
        <v>44309</v>
      </c>
      <c r="D188" t="s">
        <v>83</v>
      </c>
      <c r="E188" t="s">
        <v>81</v>
      </c>
      <c r="F188" t="s">
        <v>174</v>
      </c>
      <c r="G188" s="1"/>
      <c r="H188" s="1">
        <v>1876.04</v>
      </c>
      <c r="I188" s="1">
        <f ca="1">IFERROR(OFFSET(Data[[#This Row],[Balance]],-1,0)+Data[[#This Row],[Actual Income]]-Data[[#This Row],[Actual Expense]], Data[[#This Row],[Actual Income]])</f>
        <v>-10135.727499999997</v>
      </c>
      <c r="J188" s="1">
        <f>IF(Data[[#This Row],[Category]]="Savings or Investments", Data[[#This Row],[Actual Expense]],0)</f>
        <v>0</v>
      </c>
    </row>
    <row r="189" spans="1:10" x14ac:dyDescent="0.2">
      <c r="A189" s="5" t="str">
        <f>TEXT(Data[[#This Row],[Date]],"yyyy")</f>
        <v>2021</v>
      </c>
      <c r="B189" s="5" t="str">
        <f>TEXT(Data[[#This Row],[Date]],"mmm")</f>
        <v>Apr</v>
      </c>
      <c r="C189" s="3">
        <v>44312</v>
      </c>
      <c r="D189" t="s">
        <v>98</v>
      </c>
      <c r="E189" t="s">
        <v>44</v>
      </c>
      <c r="F189" t="s">
        <v>19</v>
      </c>
      <c r="G189" s="1">
        <v>34.630000000000003</v>
      </c>
      <c r="I189" s="1">
        <f ca="1">IFERROR(OFFSET(Data[[#This Row],[Balance]],-1,0)+Data[[#This Row],[Actual Income]]-Data[[#This Row],[Actual Expense]], Data[[#This Row],[Actual Income]])</f>
        <v>-10170.357499999996</v>
      </c>
      <c r="J189" s="1">
        <f>IF(Data[[#This Row],[Category]]="Savings or Investments", Data[[#This Row],[Actual Expense]],0)</f>
        <v>0</v>
      </c>
    </row>
    <row r="190" spans="1:10" x14ac:dyDescent="0.2">
      <c r="A190" s="5" t="str">
        <f>TEXT(Data[[#This Row],[Date]],"yyyy")</f>
        <v>2021</v>
      </c>
      <c r="B190" s="5" t="str">
        <f>TEXT(Data[[#This Row],[Date]],"mmm")</f>
        <v>Apr</v>
      </c>
      <c r="C190" s="3">
        <v>44312</v>
      </c>
      <c r="D190" t="s">
        <v>97</v>
      </c>
      <c r="E190" t="s">
        <v>48</v>
      </c>
      <c r="F190" t="s">
        <v>70</v>
      </c>
      <c r="G190" s="1">
        <v>150</v>
      </c>
      <c r="I190" s="1">
        <f ca="1">IFERROR(OFFSET(Data[[#This Row],[Balance]],-1,0)+Data[[#This Row],[Actual Income]]-Data[[#This Row],[Actual Expense]], Data[[#This Row],[Actual Income]])</f>
        <v>-10320.357499999996</v>
      </c>
      <c r="J190" s="1">
        <f>IF(Data[[#This Row],[Category]]="Savings or Investments", Data[[#This Row],[Actual Expense]],0)</f>
        <v>150</v>
      </c>
    </row>
    <row r="191" spans="1:10" x14ac:dyDescent="0.2">
      <c r="A191" s="5" t="str">
        <f>TEXT(Data[[#This Row],[Date]],"yyyy")</f>
        <v>2021</v>
      </c>
      <c r="B191" s="5" t="str">
        <f>TEXT(Data[[#This Row],[Date]],"mmm")</f>
        <v>Apr</v>
      </c>
      <c r="C191" s="3">
        <v>44312</v>
      </c>
      <c r="D191" t="s">
        <v>225</v>
      </c>
      <c r="E191" t="s">
        <v>31</v>
      </c>
      <c r="F191" t="s">
        <v>55</v>
      </c>
      <c r="G191" s="1">
        <v>10.54</v>
      </c>
      <c r="I191" s="1">
        <f ca="1">IFERROR(OFFSET(Data[[#This Row],[Balance]],-1,0)+Data[[#This Row],[Actual Income]]-Data[[#This Row],[Actual Expense]], Data[[#This Row],[Actual Income]])</f>
        <v>-10330.897499999997</v>
      </c>
      <c r="J191" s="1">
        <f>IF(Data[[#This Row],[Category]]="Savings or Investments", Data[[#This Row],[Actual Expense]],0)</f>
        <v>0</v>
      </c>
    </row>
    <row r="192" spans="1:10" x14ac:dyDescent="0.2">
      <c r="A192" s="5" t="str">
        <f>TEXT(Data[[#This Row],[Date]],"yyyy")</f>
        <v>2021</v>
      </c>
      <c r="B192" s="5" t="str">
        <f>TEXT(Data[[#This Row],[Date]],"mmm")</f>
        <v>Apr</v>
      </c>
      <c r="C192" s="3">
        <v>44312</v>
      </c>
      <c r="D192" t="s">
        <v>64</v>
      </c>
      <c r="E192" t="s">
        <v>31</v>
      </c>
      <c r="F192" t="s">
        <v>30</v>
      </c>
      <c r="G192" s="1">
        <v>24.5</v>
      </c>
      <c r="I192" s="1">
        <f ca="1">IFERROR(OFFSET(Data[[#This Row],[Balance]],-1,0)+Data[[#This Row],[Actual Income]]-Data[[#This Row],[Actual Expense]], Data[[#This Row],[Actual Income]])</f>
        <v>-10355.397499999997</v>
      </c>
      <c r="J192" s="1">
        <f>IF(Data[[#This Row],[Category]]="Savings or Investments", Data[[#This Row],[Actual Expense]],0)</f>
        <v>0</v>
      </c>
    </row>
    <row r="193" spans="1:10" x14ac:dyDescent="0.2">
      <c r="A193" s="5" t="str">
        <f>TEXT(Data[[#This Row],[Date]],"yyyy")</f>
        <v>2021</v>
      </c>
      <c r="B193" s="5" t="str">
        <f>TEXT(Data[[#This Row],[Date]],"mmm")</f>
        <v>Apr</v>
      </c>
      <c r="C193" s="3">
        <v>44312</v>
      </c>
      <c r="D193" t="s">
        <v>226</v>
      </c>
      <c r="E193" t="s">
        <v>51</v>
      </c>
      <c r="F193" t="s">
        <v>38</v>
      </c>
      <c r="G193" s="1">
        <v>235</v>
      </c>
      <c r="I193" s="1">
        <f ca="1">IFERROR(OFFSET(Data[[#This Row],[Balance]],-1,0)+Data[[#This Row],[Actual Income]]-Data[[#This Row],[Actual Expense]], Data[[#This Row],[Actual Income]])</f>
        <v>-10590.397499999997</v>
      </c>
      <c r="J193" s="1">
        <f>IF(Data[[#This Row],[Category]]="Savings or Investments", Data[[#This Row],[Actual Expense]],0)</f>
        <v>0</v>
      </c>
    </row>
    <row r="194" spans="1:10" x14ac:dyDescent="0.2">
      <c r="A194" s="5" t="str">
        <f>TEXT(Data[[#This Row],[Date]],"yyyy")</f>
        <v>2021</v>
      </c>
      <c r="B194" s="5" t="str">
        <f>TEXT(Data[[#This Row],[Date]],"mmm")</f>
        <v>Apr</v>
      </c>
      <c r="C194" s="3">
        <v>44313</v>
      </c>
      <c r="D194" t="s">
        <v>59</v>
      </c>
      <c r="E194" t="s">
        <v>31</v>
      </c>
      <c r="F194" t="s">
        <v>55</v>
      </c>
      <c r="G194" s="1">
        <v>15.64</v>
      </c>
      <c r="I194" s="1">
        <f ca="1">IFERROR(OFFSET(Data[[#This Row],[Balance]],-1,0)+Data[[#This Row],[Actual Income]]-Data[[#This Row],[Actual Expense]], Data[[#This Row],[Actual Income]])</f>
        <v>-10606.037499999997</v>
      </c>
      <c r="J194" s="1">
        <f>IF(Data[[#This Row],[Category]]="Savings or Investments", Data[[#This Row],[Actual Expense]],0)</f>
        <v>0</v>
      </c>
    </row>
    <row r="195" spans="1:10" x14ac:dyDescent="0.2">
      <c r="A195" s="5" t="str">
        <f>TEXT(Data[[#This Row],[Date]],"yyyy")</f>
        <v>2021</v>
      </c>
      <c r="B195" s="5" t="str">
        <f>TEXT(Data[[#This Row],[Date]],"mmm")</f>
        <v>Apr</v>
      </c>
      <c r="C195" s="3">
        <v>44313</v>
      </c>
      <c r="D195" t="s">
        <v>217</v>
      </c>
      <c r="E195" t="s">
        <v>31</v>
      </c>
      <c r="F195" t="s">
        <v>55</v>
      </c>
      <c r="G195" s="1">
        <v>90.76</v>
      </c>
      <c r="I195" s="1">
        <f ca="1">IFERROR(OFFSET(Data[[#This Row],[Balance]],-1,0)+Data[[#This Row],[Actual Income]]-Data[[#This Row],[Actual Expense]], Data[[#This Row],[Actual Income]])</f>
        <v>-10696.797499999997</v>
      </c>
      <c r="J195" s="1">
        <f>IF(Data[[#This Row],[Category]]="Savings or Investments", Data[[#This Row],[Actual Expense]],0)</f>
        <v>0</v>
      </c>
    </row>
    <row r="196" spans="1:10" x14ac:dyDescent="0.2">
      <c r="A196" s="5" t="str">
        <f>TEXT(Data[[#This Row],[Date]],"yyyy")</f>
        <v>2021</v>
      </c>
      <c r="B196" s="5" t="str">
        <f>TEXT(Data[[#This Row],[Date]],"mmm")</f>
        <v>Apr</v>
      </c>
      <c r="C196" s="3">
        <v>44314</v>
      </c>
      <c r="D196" t="s">
        <v>71</v>
      </c>
      <c r="E196" t="s">
        <v>31</v>
      </c>
      <c r="F196" t="s">
        <v>30</v>
      </c>
      <c r="G196" s="1">
        <v>17.399999999999999</v>
      </c>
      <c r="I196" s="1">
        <f ca="1">IFERROR(OFFSET(Data[[#This Row],[Balance]],-1,0)+Data[[#This Row],[Actual Income]]-Data[[#This Row],[Actual Expense]], Data[[#This Row],[Actual Income]])</f>
        <v>-10714.197499999997</v>
      </c>
      <c r="J196" s="1">
        <f>IF(Data[[#This Row],[Category]]="Savings or Investments", Data[[#This Row],[Actual Expense]],0)</f>
        <v>0</v>
      </c>
    </row>
    <row r="197" spans="1:10" x14ac:dyDescent="0.2">
      <c r="A197" s="5" t="str">
        <f>TEXT(Data[[#This Row],[Date]],"yyyy")</f>
        <v>2021</v>
      </c>
      <c r="B197" s="5" t="str">
        <f>TEXT(Data[[#This Row],[Date]],"mmm")</f>
        <v>Apr</v>
      </c>
      <c r="C197" s="3">
        <v>44314</v>
      </c>
      <c r="D197" t="s">
        <v>224</v>
      </c>
      <c r="E197" t="s">
        <v>31</v>
      </c>
      <c r="F197" t="s">
        <v>30</v>
      </c>
      <c r="G197" s="1">
        <v>19.46</v>
      </c>
      <c r="I197" s="1">
        <f ca="1">IFERROR(OFFSET(Data[[#This Row],[Balance]],-1,0)+Data[[#This Row],[Actual Income]]-Data[[#This Row],[Actual Expense]], Data[[#This Row],[Actual Income]])</f>
        <v>-10733.657499999996</v>
      </c>
      <c r="J197" s="1">
        <f>IF(Data[[#This Row],[Category]]="Savings or Investments", Data[[#This Row],[Actual Expense]],0)</f>
        <v>0</v>
      </c>
    </row>
    <row r="198" spans="1:10" x14ac:dyDescent="0.2">
      <c r="A198" s="5" t="str">
        <f>TEXT(Data[[#This Row],[Date]],"yyyy")</f>
        <v>2021</v>
      </c>
      <c r="B198" s="5" t="str">
        <f>TEXT(Data[[#This Row],[Date]],"mmm")</f>
        <v>Apr</v>
      </c>
      <c r="C198" s="3">
        <v>44315</v>
      </c>
      <c r="D198" t="s">
        <v>59</v>
      </c>
      <c r="E198" t="s">
        <v>31</v>
      </c>
      <c r="F198" t="s">
        <v>55</v>
      </c>
      <c r="G198" s="1">
        <v>9.26</v>
      </c>
      <c r="I198" s="1">
        <f ca="1">IFERROR(OFFSET(Data[[#This Row],[Balance]],-1,0)+Data[[#This Row],[Actual Income]]-Data[[#This Row],[Actual Expense]], Data[[#This Row],[Actual Income]])</f>
        <v>-10742.917499999996</v>
      </c>
      <c r="J198" s="1">
        <f>IF(Data[[#This Row],[Category]]="Savings or Investments", Data[[#This Row],[Actual Expense]],0)</f>
        <v>0</v>
      </c>
    </row>
    <row r="199" spans="1:10" x14ac:dyDescent="0.2">
      <c r="A199" s="5" t="str">
        <f>TEXT(Data[[#This Row],[Date]],"yyyy")</f>
        <v>2021</v>
      </c>
      <c r="B199" s="5" t="str">
        <f>TEXT(Data[[#This Row],[Date]],"mmm")</f>
        <v>Apr</v>
      </c>
      <c r="C199" s="3">
        <v>44315</v>
      </c>
      <c r="D199" t="s">
        <v>216</v>
      </c>
      <c r="E199" t="s">
        <v>31</v>
      </c>
      <c r="F199" t="s">
        <v>55</v>
      </c>
      <c r="G199" s="1">
        <v>5.52</v>
      </c>
      <c r="I199" s="1">
        <f ca="1">IFERROR(OFFSET(Data[[#This Row],[Balance]],-1,0)+Data[[#This Row],[Actual Income]]-Data[[#This Row],[Actual Expense]], Data[[#This Row],[Actual Income]])</f>
        <v>-10748.437499999996</v>
      </c>
      <c r="J199" s="1">
        <f>IF(Data[[#This Row],[Category]]="Savings or Investments", Data[[#This Row],[Actual Expense]],0)</f>
        <v>0</v>
      </c>
    </row>
    <row r="200" spans="1:10" x14ac:dyDescent="0.2">
      <c r="A200" s="5" t="str">
        <f>TEXT(Data[[#This Row],[Date]],"yyyy")</f>
        <v>2021</v>
      </c>
      <c r="B200" s="5" t="str">
        <f>TEXT(Data[[#This Row],[Date]],"mmm")</f>
        <v>Apr</v>
      </c>
      <c r="C200" s="3">
        <v>44316</v>
      </c>
      <c r="D200" t="s">
        <v>223</v>
      </c>
      <c r="E200" t="s">
        <v>11</v>
      </c>
      <c r="F200" t="s">
        <v>229</v>
      </c>
      <c r="G200" s="1">
        <v>8.39</v>
      </c>
      <c r="I200" s="1">
        <f ca="1">IFERROR(OFFSET(Data[[#This Row],[Balance]],-1,0)+Data[[#This Row],[Actual Income]]-Data[[#This Row],[Actual Expense]], Data[[#This Row],[Actual Income]])</f>
        <v>-10756.827499999996</v>
      </c>
      <c r="J200" s="1">
        <f>IF(Data[[#This Row],[Category]]="Savings or Investments", Data[[#This Row],[Actual Expense]],0)</f>
        <v>0</v>
      </c>
    </row>
    <row r="201" spans="1:10" x14ac:dyDescent="0.2">
      <c r="A201" s="5" t="str">
        <f>TEXT(Data[[#This Row],[Date]],"yyyy")</f>
        <v>2021</v>
      </c>
      <c r="B201" s="5" t="str">
        <f>TEXT(Data[[#This Row],[Date]],"mmm")</f>
        <v>Apr</v>
      </c>
      <c r="C201" s="3">
        <v>44316</v>
      </c>
      <c r="D201" t="s">
        <v>218</v>
      </c>
      <c r="E201" t="s">
        <v>31</v>
      </c>
      <c r="F201" t="s">
        <v>30</v>
      </c>
      <c r="G201" s="1">
        <v>24</v>
      </c>
      <c r="I201" s="1">
        <f ca="1">IFERROR(OFFSET(Data[[#This Row],[Balance]],-1,0)+Data[[#This Row],[Actual Income]]-Data[[#This Row],[Actual Expense]], Data[[#This Row],[Actual Income]])</f>
        <v>-10780.827499999996</v>
      </c>
      <c r="J201" s="1">
        <f>IF(Data[[#This Row],[Category]]="Savings or Investments", Data[[#This Row],[Actual Expense]],0)</f>
        <v>0</v>
      </c>
    </row>
    <row r="202" spans="1:10" x14ac:dyDescent="0.2">
      <c r="A202" s="5" t="str">
        <f>TEXT(Data[[#This Row],[Date]],"yyyy")</f>
        <v>2021</v>
      </c>
      <c r="B202" s="5" t="str">
        <f>TEXT(Data[[#This Row],[Date]],"mmm")</f>
        <v>Apr</v>
      </c>
      <c r="C202" s="3">
        <v>44316</v>
      </c>
      <c r="D202" t="s">
        <v>164</v>
      </c>
      <c r="E202" t="s">
        <v>44</v>
      </c>
      <c r="F202" t="s">
        <v>19</v>
      </c>
      <c r="G202" s="1">
        <v>32.6</v>
      </c>
      <c r="I202" s="1">
        <f ca="1">IFERROR(OFFSET(Data[[#This Row],[Balance]],-1,0)+Data[[#This Row],[Actual Income]]-Data[[#This Row],[Actual Expense]], Data[[#This Row],[Actual Income]])</f>
        <v>-10813.427499999996</v>
      </c>
      <c r="J202" s="1">
        <f>IF(Data[[#This Row],[Category]]="Savings or Investments", Data[[#This Row],[Actual Expense]],0)</f>
        <v>0</v>
      </c>
    </row>
    <row r="203" spans="1:10" x14ac:dyDescent="0.2">
      <c r="A203" s="5" t="str">
        <f>TEXT(Data[[#This Row],[Date]],"yyyy")</f>
        <v>2021</v>
      </c>
      <c r="B203" s="5" t="str">
        <f>TEXT(Data[[#This Row],[Date]],"mmm")</f>
        <v>May</v>
      </c>
      <c r="C203" s="3">
        <v>44317</v>
      </c>
      <c r="D203" t="s">
        <v>187</v>
      </c>
      <c r="E203" t="s">
        <v>31</v>
      </c>
      <c r="F203" t="s">
        <v>55</v>
      </c>
      <c r="G203" s="1">
        <v>4.28</v>
      </c>
      <c r="I203" s="1">
        <f ca="1">IFERROR(OFFSET(Data[[#This Row],[Balance]],-1,0)+Data[[#This Row],[Actual Income]]-Data[[#This Row],[Actual Expense]], Data[[#This Row],[Actual Income]])</f>
        <v>-10817.707499999997</v>
      </c>
      <c r="J203" s="1">
        <f>IF(Data[[#This Row],[Category]]="Savings or Investments", Data[[#This Row],[Actual Expense]],0)</f>
        <v>0</v>
      </c>
    </row>
    <row r="204" spans="1:10" x14ac:dyDescent="0.2">
      <c r="A204" s="5" t="str">
        <f>TEXT(Data[[#This Row],[Date]],"yyyy")</f>
        <v>2021</v>
      </c>
      <c r="B204" s="5" t="str">
        <f>TEXT(Data[[#This Row],[Date]],"mmm")</f>
        <v>May</v>
      </c>
      <c r="C204" s="3">
        <v>44317</v>
      </c>
      <c r="D204" t="s">
        <v>52</v>
      </c>
      <c r="E204" t="s">
        <v>42</v>
      </c>
      <c r="F204" t="s">
        <v>0</v>
      </c>
      <c r="G204" s="1">
        <v>500</v>
      </c>
      <c r="I204" s="1">
        <f ca="1">IFERROR(OFFSET(Data[[#This Row],[Balance]],-1,0)+Data[[#This Row],[Actual Income]]-Data[[#This Row],[Actual Expense]], Data[[#This Row],[Actual Income]])</f>
        <v>-11317.707499999997</v>
      </c>
      <c r="J204" s="1">
        <f>IF(Data[[#This Row],[Category]]="Savings or Investments", Data[[#This Row],[Actual Expense]],0)</f>
        <v>0</v>
      </c>
    </row>
    <row r="205" spans="1:10" x14ac:dyDescent="0.2">
      <c r="A205" s="5" t="str">
        <f>TEXT(Data[[#This Row],[Date]],"yyyy")</f>
        <v>2021</v>
      </c>
      <c r="B205" s="5" t="str">
        <f>TEXT(Data[[#This Row],[Date]],"mmm")</f>
        <v>May</v>
      </c>
      <c r="C205" s="3">
        <v>44319</v>
      </c>
      <c r="D205" t="s">
        <v>54</v>
      </c>
      <c r="E205" t="s">
        <v>48</v>
      </c>
      <c r="F205" t="s">
        <v>70</v>
      </c>
      <c r="G205" s="1">
        <v>100</v>
      </c>
      <c r="I205" s="1">
        <f ca="1">IFERROR(OFFSET(Data[[#This Row],[Balance]],-1,0)+Data[[#This Row],[Actual Income]]-Data[[#This Row],[Actual Expense]], Data[[#This Row],[Actual Income]])</f>
        <v>-11417.707499999997</v>
      </c>
      <c r="J205" s="1">
        <f>IF(Data[[#This Row],[Category]]="Savings or Investments", Data[[#This Row],[Actual Expense]],0)</f>
        <v>100</v>
      </c>
    </row>
    <row r="206" spans="1:10" x14ac:dyDescent="0.2">
      <c r="A206" s="5" t="str">
        <f>TEXT(Data[[#This Row],[Date]],"yyyy")</f>
        <v>2021</v>
      </c>
      <c r="B206" s="5" t="str">
        <f>TEXT(Data[[#This Row],[Date]],"mmm")</f>
        <v>May</v>
      </c>
      <c r="C206" s="3">
        <v>44319</v>
      </c>
      <c r="D206" t="s">
        <v>222</v>
      </c>
      <c r="E206" t="s">
        <v>49</v>
      </c>
      <c r="F206" t="s">
        <v>154</v>
      </c>
      <c r="G206" s="1">
        <v>20.57</v>
      </c>
      <c r="I206" s="1">
        <f ca="1">IFERROR(OFFSET(Data[[#This Row],[Balance]],-1,0)+Data[[#This Row],[Actual Income]]-Data[[#This Row],[Actual Expense]], Data[[#This Row],[Actual Income]])</f>
        <v>-11438.277499999997</v>
      </c>
      <c r="J206" s="1">
        <f>IF(Data[[#This Row],[Category]]="Savings or Investments", Data[[#This Row],[Actual Expense]],0)</f>
        <v>0</v>
      </c>
    </row>
    <row r="207" spans="1:10" x14ac:dyDescent="0.2">
      <c r="A207" s="5" t="str">
        <f>TEXT(Data[[#This Row],[Date]],"yyyy")</f>
        <v>2021</v>
      </c>
      <c r="B207" s="5" t="str">
        <f>TEXT(Data[[#This Row],[Date]],"mmm")</f>
        <v>May</v>
      </c>
      <c r="C207" s="3">
        <v>44320</v>
      </c>
      <c r="D207" t="s">
        <v>232</v>
      </c>
      <c r="E207" t="s">
        <v>48</v>
      </c>
      <c r="F207" t="s">
        <v>130</v>
      </c>
      <c r="G207" s="1">
        <v>100</v>
      </c>
      <c r="I207" s="1">
        <f ca="1">IFERROR(OFFSET(Data[[#This Row],[Balance]],-1,0)+Data[[#This Row],[Actual Income]]-Data[[#This Row],[Actual Expense]], Data[[#This Row],[Actual Income]])</f>
        <v>-11538.277499999997</v>
      </c>
      <c r="J207" s="1">
        <f>IF(Data[[#This Row],[Category]]="Savings or Investments", Data[[#This Row],[Actual Expense]],0)</f>
        <v>100</v>
      </c>
    </row>
    <row r="208" spans="1:10" x14ac:dyDescent="0.2">
      <c r="A208" s="5" t="str">
        <f>TEXT(Data[[#This Row],[Date]],"yyyy")</f>
        <v>2021</v>
      </c>
      <c r="B208" s="5" t="str">
        <f>TEXT(Data[[#This Row],[Date]],"mmm")</f>
        <v>May</v>
      </c>
      <c r="C208" s="3">
        <v>44320</v>
      </c>
      <c r="D208" t="s">
        <v>231</v>
      </c>
      <c r="E208" t="s">
        <v>81</v>
      </c>
      <c r="F208" t="s">
        <v>175</v>
      </c>
      <c r="G208" s="1"/>
      <c r="H208">
        <v>492.55</v>
      </c>
      <c r="I208" s="1">
        <f ca="1">IFERROR(OFFSET(Data[[#This Row],[Balance]],-1,0)+Data[[#This Row],[Actual Income]]-Data[[#This Row],[Actual Expense]], Data[[#This Row],[Actual Income]])</f>
        <v>-11045.727499999997</v>
      </c>
      <c r="J208" s="1">
        <f>IF(Data[[#This Row],[Category]]="Savings or Investments", Data[[#This Row],[Actual Expense]],0)</f>
        <v>0</v>
      </c>
    </row>
    <row r="209" spans="1:10" x14ac:dyDescent="0.2">
      <c r="A209" s="5" t="str">
        <f>TEXT(Data[[#This Row],[Date]],"yyyy")</f>
        <v>2021</v>
      </c>
      <c r="B209" s="5" t="str">
        <f>TEXT(Data[[#This Row],[Date]],"mmm")</f>
        <v>May</v>
      </c>
      <c r="C209" s="3">
        <v>44323</v>
      </c>
      <c r="D209" t="s">
        <v>239</v>
      </c>
      <c r="E209" t="s">
        <v>48</v>
      </c>
      <c r="F209" t="s">
        <v>70</v>
      </c>
      <c r="G209" s="1">
        <v>100</v>
      </c>
      <c r="I209" s="1">
        <f ca="1">IFERROR(OFFSET(Data[[#This Row],[Balance]],-1,0)+Data[[#This Row],[Actual Income]]-Data[[#This Row],[Actual Expense]], Data[[#This Row],[Actual Income]])</f>
        <v>-11145.727499999997</v>
      </c>
      <c r="J209" s="1">
        <f>IF(Data[[#This Row],[Category]]="Savings or Investments", Data[[#This Row],[Actual Expense]],0)</f>
        <v>100</v>
      </c>
    </row>
    <row r="210" spans="1:10" x14ac:dyDescent="0.2">
      <c r="A210" s="5" t="str">
        <f>TEXT(Data[[#This Row],[Date]],"yyyy")</f>
        <v>2021</v>
      </c>
      <c r="B210" s="5" t="str">
        <f>TEXT(Data[[#This Row],[Date]],"mmm")</f>
        <v>May</v>
      </c>
      <c r="C210" s="3">
        <v>44323</v>
      </c>
      <c r="D210" t="s">
        <v>99</v>
      </c>
      <c r="E210" t="s">
        <v>31</v>
      </c>
      <c r="F210" t="s">
        <v>29</v>
      </c>
      <c r="G210" s="1">
        <v>73.42</v>
      </c>
      <c r="I210" s="1">
        <f ca="1">IFERROR(OFFSET(Data[[#This Row],[Balance]],-1,0)+Data[[#This Row],[Actual Income]]-Data[[#This Row],[Actual Expense]], Data[[#This Row],[Actual Income]])</f>
        <v>-11219.147499999997</v>
      </c>
      <c r="J210" s="1">
        <f>IF(Data[[#This Row],[Category]]="Savings or Investments", Data[[#This Row],[Actual Expense]],0)</f>
        <v>0</v>
      </c>
    </row>
    <row r="211" spans="1:10" x14ac:dyDescent="0.2">
      <c r="A211" s="5" t="str">
        <f>TEXT(Data[[#This Row],[Date]],"yyyy")</f>
        <v>2021</v>
      </c>
      <c r="B211" s="5" t="str">
        <f>TEXT(Data[[#This Row],[Date]],"mmm")</f>
        <v>May</v>
      </c>
      <c r="C211" s="3">
        <v>44323</v>
      </c>
      <c r="D211" t="s">
        <v>233</v>
      </c>
      <c r="E211" t="s">
        <v>53</v>
      </c>
      <c r="F211" t="s">
        <v>77</v>
      </c>
      <c r="G211" s="1">
        <v>127.74</v>
      </c>
      <c r="I211" s="1">
        <f ca="1">IFERROR(OFFSET(Data[[#This Row],[Balance]],-1,0)+Data[[#This Row],[Actual Income]]-Data[[#This Row],[Actual Expense]], Data[[#This Row],[Actual Income]])</f>
        <v>-11346.887499999997</v>
      </c>
      <c r="J211" s="1">
        <f>IF(Data[[#This Row],[Category]]="Savings or Investments", Data[[#This Row],[Actual Expense]],0)</f>
        <v>0</v>
      </c>
    </row>
    <row r="212" spans="1:10" x14ac:dyDescent="0.2">
      <c r="A212" s="5" t="str">
        <f>TEXT(Data[[#This Row],[Date]],"yyyy")</f>
        <v>2021</v>
      </c>
      <c r="B212" s="5" t="str">
        <f>TEXT(Data[[#This Row],[Date]],"mmm")</f>
        <v>May</v>
      </c>
      <c r="C212" s="3">
        <v>44323</v>
      </c>
      <c r="D212" t="s">
        <v>83</v>
      </c>
      <c r="E212" t="s">
        <v>81</v>
      </c>
      <c r="F212" t="s">
        <v>174</v>
      </c>
      <c r="G212" s="1"/>
      <c r="H212">
        <v>1876.05</v>
      </c>
      <c r="I212" s="1">
        <f ca="1">IFERROR(OFFSET(Data[[#This Row],[Balance]],-1,0)+Data[[#This Row],[Actual Income]]-Data[[#This Row],[Actual Expense]], Data[[#This Row],[Actual Income]])</f>
        <v>-9470.8374999999978</v>
      </c>
      <c r="J212" s="1">
        <f>IF(Data[[#This Row],[Category]]="Savings or Investments", Data[[#This Row],[Actual Expense]],0)</f>
        <v>0</v>
      </c>
    </row>
    <row r="213" spans="1:10" x14ac:dyDescent="0.2">
      <c r="A213" s="5" t="str">
        <f>TEXT(Data[[#This Row],[Date]],"yyyy")</f>
        <v>2021</v>
      </c>
      <c r="B213" s="5" t="str">
        <f>TEXT(Data[[#This Row],[Date]],"mmm")</f>
        <v>May</v>
      </c>
      <c r="C213" s="3">
        <v>44325</v>
      </c>
      <c r="D213" t="s">
        <v>230</v>
      </c>
      <c r="E213" t="s">
        <v>31</v>
      </c>
      <c r="F213" t="s">
        <v>30</v>
      </c>
      <c r="G213" s="1">
        <v>44.37</v>
      </c>
      <c r="I213" s="1">
        <f ca="1">IFERROR(OFFSET(Data[[#This Row],[Balance]],-1,0)+Data[[#This Row],[Actual Income]]-Data[[#This Row],[Actual Expense]], Data[[#This Row],[Actual Income]])</f>
        <v>-9515.2074999999986</v>
      </c>
      <c r="J213" s="1">
        <f>IF(Data[[#This Row],[Category]]="Savings or Investments", Data[[#This Row],[Actual Expense]],0)</f>
        <v>0</v>
      </c>
    </row>
    <row r="214" spans="1:10" x14ac:dyDescent="0.2">
      <c r="A214" s="5" t="str">
        <f>TEXT(Data[[#This Row],[Date]],"yyyy")</f>
        <v>2021</v>
      </c>
      <c r="B214" s="5" t="str">
        <f>TEXT(Data[[#This Row],[Date]],"mmm")</f>
        <v>May</v>
      </c>
      <c r="C214" s="3">
        <v>44326</v>
      </c>
      <c r="D214" t="s">
        <v>234</v>
      </c>
      <c r="E214" t="s">
        <v>48</v>
      </c>
      <c r="F214" t="s">
        <v>70</v>
      </c>
      <c r="G214" s="1">
        <v>100</v>
      </c>
      <c r="I214" s="1">
        <f ca="1">IFERROR(OFFSET(Data[[#This Row],[Balance]],-1,0)+Data[[#This Row],[Actual Income]]-Data[[#This Row],[Actual Expense]], Data[[#This Row],[Actual Income]])</f>
        <v>-9615.2074999999986</v>
      </c>
      <c r="J214" s="1">
        <f>IF(Data[[#This Row],[Category]]="Savings or Investments", Data[[#This Row],[Actual Expense]],0)</f>
        <v>100</v>
      </c>
    </row>
    <row r="215" spans="1:10" x14ac:dyDescent="0.2">
      <c r="A215" s="5" t="str">
        <f>TEXT(Data[[#This Row],[Date]],"yyyy")</f>
        <v>2021</v>
      </c>
      <c r="B215" s="5" t="str">
        <f>TEXT(Data[[#This Row],[Date]],"mmm")</f>
        <v>May</v>
      </c>
      <c r="C215" s="3">
        <v>44326</v>
      </c>
      <c r="D215" t="s">
        <v>199</v>
      </c>
      <c r="E215" t="s">
        <v>51</v>
      </c>
      <c r="F215" t="s">
        <v>163</v>
      </c>
      <c r="G215" s="1">
        <v>260</v>
      </c>
      <c r="I215" s="1">
        <f ca="1">IFERROR(OFFSET(Data[[#This Row],[Balance]],-1,0)+Data[[#This Row],[Actual Income]]-Data[[#This Row],[Actual Expense]], Data[[#This Row],[Actual Income]])</f>
        <v>-9875.2074999999986</v>
      </c>
      <c r="J215" s="1">
        <f>IF(Data[[#This Row],[Category]]="Savings or Investments", Data[[#This Row],[Actual Expense]],0)</f>
        <v>0</v>
      </c>
    </row>
    <row r="216" spans="1:10" x14ac:dyDescent="0.2">
      <c r="A216" s="5" t="str">
        <f>TEXT(Data[[#This Row],[Date]],"yyyy")</f>
        <v>2021</v>
      </c>
      <c r="B216" s="5" t="str">
        <f>TEXT(Data[[#This Row],[Date]],"mmm")</f>
        <v>May</v>
      </c>
      <c r="C216" s="3">
        <v>44326</v>
      </c>
      <c r="D216" t="s">
        <v>237</v>
      </c>
      <c r="E216" t="s">
        <v>48</v>
      </c>
      <c r="F216" t="s">
        <v>70</v>
      </c>
      <c r="G216" s="1">
        <v>97.31</v>
      </c>
      <c r="I216" s="1">
        <f ca="1">IFERROR(OFFSET(Data[[#This Row],[Balance]],-1,0)+Data[[#This Row],[Actual Income]]-Data[[#This Row],[Actual Expense]], Data[[#This Row],[Actual Income]])</f>
        <v>-9972.5174999999981</v>
      </c>
      <c r="J216" s="1">
        <f>IF(Data[[#This Row],[Category]]="Savings or Investments", Data[[#This Row],[Actual Expense]],0)</f>
        <v>97.31</v>
      </c>
    </row>
    <row r="217" spans="1:10" x14ac:dyDescent="0.2">
      <c r="A217" s="5" t="str">
        <f>TEXT(Data[[#This Row],[Date]],"yyyy")</f>
        <v>2021</v>
      </c>
      <c r="B217" s="5" t="str">
        <f>TEXT(Data[[#This Row],[Date]],"mmm")</f>
        <v>May</v>
      </c>
      <c r="C217" s="3">
        <v>44326</v>
      </c>
      <c r="D217" t="s">
        <v>238</v>
      </c>
      <c r="E217" t="s">
        <v>48</v>
      </c>
      <c r="F217" t="s">
        <v>70</v>
      </c>
      <c r="G217" s="1">
        <v>126.21</v>
      </c>
      <c r="I217" s="1">
        <f ca="1">IFERROR(OFFSET(Data[[#This Row],[Balance]],-1,0)+Data[[#This Row],[Actual Income]]-Data[[#This Row],[Actual Expense]], Data[[#This Row],[Actual Income]])</f>
        <v>-10098.727499999997</v>
      </c>
      <c r="J217" s="1">
        <f>IF(Data[[#This Row],[Category]]="Savings or Investments", Data[[#This Row],[Actual Expense]],0)</f>
        <v>126.21</v>
      </c>
    </row>
    <row r="218" spans="1:10" x14ac:dyDescent="0.2">
      <c r="A218" s="5" t="str">
        <f>TEXT(Data[[#This Row],[Date]],"yyyy")</f>
        <v>2021</v>
      </c>
      <c r="B218" s="5" t="str">
        <f>TEXT(Data[[#This Row],[Date]],"mmm")</f>
        <v>May</v>
      </c>
      <c r="C218" s="3">
        <v>44326</v>
      </c>
      <c r="D218" t="s">
        <v>235</v>
      </c>
      <c r="E218" t="s">
        <v>48</v>
      </c>
      <c r="F218" t="s">
        <v>70</v>
      </c>
      <c r="G218" s="1">
        <v>210.68</v>
      </c>
      <c r="I218" s="1">
        <f ca="1">IFERROR(OFFSET(Data[[#This Row],[Balance]],-1,0)+Data[[#This Row],[Actual Income]]-Data[[#This Row],[Actual Expense]], Data[[#This Row],[Actual Income]])</f>
        <v>-10309.407499999998</v>
      </c>
      <c r="J218" s="1">
        <f>IF(Data[[#This Row],[Category]]="Savings or Investments", Data[[#This Row],[Actual Expense]],0)</f>
        <v>210.68</v>
      </c>
    </row>
    <row r="219" spans="1:10" x14ac:dyDescent="0.2">
      <c r="A219" s="5" t="str">
        <f>TEXT(Data[[#This Row],[Date]],"yyyy")</f>
        <v>2021</v>
      </c>
      <c r="B219" s="5" t="str">
        <f>TEXT(Data[[#This Row],[Date]],"mmm")</f>
        <v>May</v>
      </c>
      <c r="C219" s="3">
        <v>44326</v>
      </c>
      <c r="D219" t="s">
        <v>236</v>
      </c>
      <c r="E219" t="s">
        <v>48</v>
      </c>
      <c r="F219" t="s">
        <v>70</v>
      </c>
      <c r="G219" s="1">
        <v>603.83000000000004</v>
      </c>
      <c r="I219" s="1">
        <f ca="1">IFERROR(OFFSET(Data[[#This Row],[Balance]],-1,0)+Data[[#This Row],[Actual Income]]-Data[[#This Row],[Actual Expense]], Data[[#This Row],[Actual Income]])</f>
        <v>-10913.237499999997</v>
      </c>
      <c r="J219" s="1">
        <f>IF(Data[[#This Row],[Category]]="Savings or Investments", Data[[#This Row],[Actual Expense]],0)</f>
        <v>603.83000000000004</v>
      </c>
    </row>
    <row r="220" spans="1:10" x14ac:dyDescent="0.2">
      <c r="A220" s="5" t="str">
        <f>TEXT(Data[[#This Row],[Date]],"yyyy")</f>
        <v>2021</v>
      </c>
      <c r="B220" s="5" t="str">
        <f>TEXT(Data[[#This Row],[Date]],"mmm")</f>
        <v>May</v>
      </c>
      <c r="C220" s="3">
        <v>44327</v>
      </c>
      <c r="D220" t="s">
        <v>68</v>
      </c>
      <c r="E220" t="s">
        <v>31</v>
      </c>
      <c r="F220" t="s">
        <v>30</v>
      </c>
      <c r="G220" s="1">
        <v>5.4</v>
      </c>
      <c r="I220" s="1">
        <f ca="1">IFERROR(OFFSET(Data[[#This Row],[Balance]],-1,0)+Data[[#This Row],[Actual Income]]-Data[[#This Row],[Actual Expense]], Data[[#This Row],[Actual Income]])</f>
        <v>-10918.637499999997</v>
      </c>
      <c r="J220" s="1">
        <f>IF(Data[[#This Row],[Category]]="Savings or Investments", Data[[#This Row],[Actual Expense]],0)</f>
        <v>0</v>
      </c>
    </row>
    <row r="221" spans="1:10" x14ac:dyDescent="0.2">
      <c r="A221" s="5" t="str">
        <f>TEXT(Data[[#This Row],[Date]],"yyyy")</f>
        <v>2021</v>
      </c>
      <c r="B221" s="5" t="str">
        <f>TEXT(Data[[#This Row],[Date]],"mmm")</f>
        <v>May</v>
      </c>
      <c r="C221" s="3">
        <v>44327</v>
      </c>
      <c r="D221" t="s">
        <v>242</v>
      </c>
      <c r="E221" t="s">
        <v>44</v>
      </c>
      <c r="F221" t="s">
        <v>15</v>
      </c>
      <c r="G221" s="1">
        <v>419.69</v>
      </c>
      <c r="I221" s="1">
        <f ca="1">IFERROR(OFFSET(Data[[#This Row],[Balance]],-1,0)+Data[[#This Row],[Actual Income]]-Data[[#This Row],[Actual Expense]], Data[[#This Row],[Actual Income]])</f>
        <v>-11338.327499999998</v>
      </c>
      <c r="J221" s="1">
        <f>IF(Data[[#This Row],[Category]]="Savings or Investments", Data[[#This Row],[Actual Expense]],0)</f>
        <v>0</v>
      </c>
    </row>
    <row r="222" spans="1:10" x14ac:dyDescent="0.2">
      <c r="A222" s="5" t="str">
        <f>TEXT(Data[[#This Row],[Date]],"yyyy")</f>
        <v>2021</v>
      </c>
      <c r="B222" s="5" t="str">
        <f>TEXT(Data[[#This Row],[Date]],"mmm")</f>
        <v>May</v>
      </c>
      <c r="C222" s="3">
        <v>44327</v>
      </c>
      <c r="D222" t="s">
        <v>209</v>
      </c>
      <c r="E222" t="s">
        <v>31</v>
      </c>
      <c r="F222" t="s">
        <v>30</v>
      </c>
      <c r="G222" s="1">
        <v>12.21</v>
      </c>
      <c r="I222" s="1">
        <f ca="1">IFERROR(OFFSET(Data[[#This Row],[Balance]],-1,0)+Data[[#This Row],[Actual Income]]-Data[[#This Row],[Actual Expense]], Data[[#This Row],[Actual Income]])</f>
        <v>-11350.537499999997</v>
      </c>
      <c r="J222" s="1">
        <f>IF(Data[[#This Row],[Category]]="Savings or Investments", Data[[#This Row],[Actual Expense]],0)</f>
        <v>0</v>
      </c>
    </row>
    <row r="223" spans="1:10" x14ac:dyDescent="0.2">
      <c r="A223" s="5" t="str">
        <f>TEXT(Data[[#This Row],[Date]],"yyyy")</f>
        <v>2021</v>
      </c>
      <c r="B223" s="5" t="str">
        <f>TEXT(Data[[#This Row],[Date]],"mmm")</f>
        <v>May</v>
      </c>
      <c r="C223" s="3">
        <v>44327</v>
      </c>
      <c r="D223" t="s">
        <v>241</v>
      </c>
      <c r="E223" t="s">
        <v>48</v>
      </c>
      <c r="F223" t="s">
        <v>70</v>
      </c>
      <c r="G223" s="1">
        <v>205.07</v>
      </c>
      <c r="I223" s="1">
        <f ca="1">IFERROR(OFFSET(Data[[#This Row],[Balance]],-1,0)+Data[[#This Row],[Actual Income]]-Data[[#This Row],[Actual Expense]], Data[[#This Row],[Actual Income]])</f>
        <v>-11555.607499999996</v>
      </c>
      <c r="J223" s="1">
        <f>IF(Data[[#This Row],[Category]]="Savings or Investments", Data[[#This Row],[Actual Expense]],0)</f>
        <v>205.07</v>
      </c>
    </row>
    <row r="224" spans="1:10" x14ac:dyDescent="0.2">
      <c r="A224" s="5" t="str">
        <f>TEXT(Data[[#This Row],[Date]],"yyyy")</f>
        <v>2021</v>
      </c>
      <c r="B224" s="5" t="str">
        <f>TEXT(Data[[#This Row],[Date]],"mmm")</f>
        <v>May</v>
      </c>
      <c r="C224" s="3">
        <v>44327</v>
      </c>
      <c r="D224" t="s">
        <v>241</v>
      </c>
      <c r="E224" t="s">
        <v>48</v>
      </c>
      <c r="F224" t="s">
        <v>70</v>
      </c>
      <c r="G224" s="1">
        <v>205.73</v>
      </c>
      <c r="I224" s="1">
        <f ca="1">IFERROR(OFFSET(Data[[#This Row],[Balance]],-1,0)+Data[[#This Row],[Actual Income]]-Data[[#This Row],[Actual Expense]], Data[[#This Row],[Actual Income]])</f>
        <v>-11761.337499999996</v>
      </c>
      <c r="J224" s="1">
        <f>IF(Data[[#This Row],[Category]]="Savings or Investments", Data[[#This Row],[Actual Expense]],0)</f>
        <v>205.73</v>
      </c>
    </row>
    <row r="225" spans="1:10" x14ac:dyDescent="0.2">
      <c r="A225" s="5" t="str">
        <f>TEXT(Data[[#This Row],[Date]],"yyyy")</f>
        <v>2021</v>
      </c>
      <c r="B225" s="5" t="str">
        <f>TEXT(Data[[#This Row],[Date]],"mmm")</f>
        <v>May</v>
      </c>
      <c r="C225" s="3">
        <v>44327</v>
      </c>
      <c r="D225" t="s">
        <v>241</v>
      </c>
      <c r="E225" t="s">
        <v>48</v>
      </c>
      <c r="F225" t="s">
        <v>70</v>
      </c>
      <c r="G225" s="1">
        <v>207.49</v>
      </c>
      <c r="I225" s="1">
        <f ca="1">IFERROR(OFFSET(Data[[#This Row],[Balance]],-1,0)+Data[[#This Row],[Actual Income]]-Data[[#This Row],[Actual Expense]], Data[[#This Row],[Actual Income]])</f>
        <v>-11968.827499999996</v>
      </c>
      <c r="J225" s="1">
        <f>IF(Data[[#This Row],[Category]]="Savings or Investments", Data[[#This Row],[Actual Expense]],0)</f>
        <v>207.49</v>
      </c>
    </row>
    <row r="226" spans="1:10" x14ac:dyDescent="0.2">
      <c r="A226" s="5" t="str">
        <f>TEXT(Data[[#This Row],[Date]],"yyyy")</f>
        <v>2021</v>
      </c>
      <c r="B226" s="5" t="str">
        <f>TEXT(Data[[#This Row],[Date]],"mmm")</f>
        <v>May</v>
      </c>
      <c r="C226" s="3">
        <v>44327</v>
      </c>
      <c r="D226" t="s">
        <v>240</v>
      </c>
      <c r="E226" t="s">
        <v>81</v>
      </c>
      <c r="F226" t="s">
        <v>175</v>
      </c>
      <c r="G226" s="1"/>
      <c r="H226">
        <v>194.85</v>
      </c>
      <c r="I226" s="1">
        <f ca="1">IFERROR(OFFSET(Data[[#This Row],[Balance]],-1,0)+Data[[#This Row],[Actual Income]]-Data[[#This Row],[Actual Expense]], Data[[#This Row],[Actual Income]])</f>
        <v>-11773.977499999995</v>
      </c>
      <c r="J226" s="1">
        <f>IF(Data[[#This Row],[Category]]="Savings or Investments", Data[[#This Row],[Actual Expense]],0)</f>
        <v>0</v>
      </c>
    </row>
    <row r="227" spans="1:10" x14ac:dyDescent="0.2">
      <c r="A227" s="5" t="str">
        <f>TEXT(Data[[#This Row],[Date]],"yyyy")</f>
        <v>2021</v>
      </c>
      <c r="B227" s="5" t="str">
        <f>TEXT(Data[[#This Row],[Date]],"mmm")</f>
        <v>May</v>
      </c>
      <c r="C227" s="3">
        <v>44328</v>
      </c>
      <c r="D227" t="s">
        <v>164</v>
      </c>
      <c r="E227" t="s">
        <v>44</v>
      </c>
      <c r="F227" t="s">
        <v>19</v>
      </c>
      <c r="G227" s="1">
        <v>32.869999999999997</v>
      </c>
      <c r="I227" s="1">
        <f ca="1">IFERROR(OFFSET(Data[[#This Row],[Balance]],-1,0)+Data[[#This Row],[Actual Income]]-Data[[#This Row],[Actual Expense]], Data[[#This Row],[Actual Income]])</f>
        <v>-11806.847499999996</v>
      </c>
      <c r="J227" s="1">
        <f>IF(Data[[#This Row],[Category]]="Savings or Investments", Data[[#This Row],[Actual Expense]],0)</f>
        <v>0</v>
      </c>
    </row>
    <row r="228" spans="1:10" x14ac:dyDescent="0.2">
      <c r="A228" s="5" t="str">
        <f>TEXT(Data[[#This Row],[Date]],"yyyy")</f>
        <v>2021</v>
      </c>
      <c r="B228" s="5" t="str">
        <f>TEXT(Data[[#This Row],[Date]],"mmm")</f>
        <v>May</v>
      </c>
      <c r="C228" s="3">
        <v>44328</v>
      </c>
      <c r="D228" t="s">
        <v>246</v>
      </c>
      <c r="E228" t="s">
        <v>81</v>
      </c>
      <c r="F228" t="s">
        <v>175</v>
      </c>
      <c r="G228" s="1"/>
      <c r="H228">
        <v>621.32000000000005</v>
      </c>
      <c r="I228" s="1">
        <f ca="1">IFERROR(OFFSET(Data[[#This Row],[Balance]],-1,0)+Data[[#This Row],[Actual Income]]-Data[[#This Row],[Actual Expense]], Data[[#This Row],[Actual Income]])</f>
        <v>-11185.527499999997</v>
      </c>
      <c r="J228" s="1">
        <f>IF(Data[[#This Row],[Category]]="Savings or Investments", Data[[#This Row],[Actual Expense]],0)</f>
        <v>0</v>
      </c>
    </row>
    <row r="229" spans="1:10" x14ac:dyDescent="0.2">
      <c r="A229" s="5" t="str">
        <f>TEXT(Data[[#This Row],[Date]],"yyyy")</f>
        <v>2021</v>
      </c>
      <c r="B229" s="5" t="str">
        <f>TEXT(Data[[#This Row],[Date]],"mmm")</f>
        <v>May</v>
      </c>
      <c r="C229" s="3">
        <v>44329</v>
      </c>
      <c r="D229" t="s">
        <v>244</v>
      </c>
      <c r="E229" t="s">
        <v>48</v>
      </c>
      <c r="F229" t="s">
        <v>70</v>
      </c>
      <c r="G229" s="1">
        <v>50</v>
      </c>
      <c r="I229" s="1">
        <f ca="1">IFERROR(OFFSET(Data[[#This Row],[Balance]],-1,0)+Data[[#This Row],[Actual Income]]-Data[[#This Row],[Actual Expense]], Data[[#This Row],[Actual Income]])</f>
        <v>-11235.527499999997</v>
      </c>
      <c r="J229" s="1">
        <f>IF(Data[[#This Row],[Category]]="Savings or Investments", Data[[#This Row],[Actual Expense]],0)</f>
        <v>50</v>
      </c>
    </row>
    <row r="230" spans="1:10" x14ac:dyDescent="0.2">
      <c r="A230" s="5" t="str">
        <f>TEXT(Data[[#This Row],[Date]],"yyyy")</f>
        <v>2021</v>
      </c>
      <c r="B230" s="5" t="str">
        <f>TEXT(Data[[#This Row],[Date]],"mmm")</f>
        <v>May</v>
      </c>
      <c r="C230" s="3">
        <v>44329</v>
      </c>
      <c r="D230" t="s">
        <v>245</v>
      </c>
      <c r="E230" t="s">
        <v>48</v>
      </c>
      <c r="F230" t="s">
        <v>70</v>
      </c>
      <c r="G230" s="1">
        <v>100</v>
      </c>
      <c r="I230" s="1">
        <f ca="1">IFERROR(OFFSET(Data[[#This Row],[Balance]],-1,0)+Data[[#This Row],[Actual Income]]-Data[[#This Row],[Actual Expense]], Data[[#This Row],[Actual Income]])</f>
        <v>-11335.527499999997</v>
      </c>
      <c r="J230" s="1">
        <f>IF(Data[[#This Row],[Category]]="Savings or Investments", Data[[#This Row],[Actual Expense]],0)</f>
        <v>100</v>
      </c>
    </row>
    <row r="231" spans="1:10" x14ac:dyDescent="0.2">
      <c r="A231" s="5" t="str">
        <f>TEXT(Data[[#This Row],[Date]],"yyyy")</f>
        <v>2021</v>
      </c>
      <c r="B231" s="5" t="str">
        <f>TEXT(Data[[#This Row],[Date]],"mmm")</f>
        <v>May</v>
      </c>
      <c r="C231" s="3">
        <v>44329</v>
      </c>
      <c r="D231" t="s">
        <v>161</v>
      </c>
      <c r="E231" t="s">
        <v>51</v>
      </c>
      <c r="F231" t="s">
        <v>38</v>
      </c>
      <c r="G231" s="1">
        <v>115</v>
      </c>
      <c r="I231" s="1">
        <f ca="1">IFERROR(OFFSET(Data[[#This Row],[Balance]],-1,0)+Data[[#This Row],[Actual Income]]-Data[[#This Row],[Actual Expense]], Data[[#This Row],[Actual Income]])</f>
        <v>-11450.527499999997</v>
      </c>
      <c r="J231" s="1">
        <f>IF(Data[[#This Row],[Category]]="Savings or Investments", Data[[#This Row],[Actual Expense]],0)</f>
        <v>0</v>
      </c>
    </row>
    <row r="232" spans="1:10" x14ac:dyDescent="0.2">
      <c r="A232" s="5" t="str">
        <f>TEXT(Data[[#This Row],[Date]],"yyyy")</f>
        <v>2021</v>
      </c>
      <c r="B232" s="5" t="str">
        <f>TEXT(Data[[#This Row],[Date]],"mmm")</f>
        <v>May</v>
      </c>
      <c r="C232" s="3">
        <v>44329</v>
      </c>
      <c r="D232" t="s">
        <v>239</v>
      </c>
      <c r="E232" t="s">
        <v>48</v>
      </c>
      <c r="F232" t="s">
        <v>70</v>
      </c>
      <c r="G232" s="1">
        <v>150</v>
      </c>
      <c r="I232" s="1">
        <f ca="1">IFERROR(OFFSET(Data[[#This Row],[Balance]],-1,0)+Data[[#This Row],[Actual Income]]-Data[[#This Row],[Actual Expense]], Data[[#This Row],[Actual Income]])</f>
        <v>-11600.527499999997</v>
      </c>
      <c r="J232" s="1">
        <f>IF(Data[[#This Row],[Category]]="Savings or Investments", Data[[#This Row],[Actual Expense]],0)</f>
        <v>150</v>
      </c>
    </row>
    <row r="233" spans="1:10" x14ac:dyDescent="0.2">
      <c r="A233" s="5" t="str">
        <f>TEXT(Data[[#This Row],[Date]],"yyyy")</f>
        <v>2021</v>
      </c>
      <c r="B233" s="5" t="str">
        <f>TEXT(Data[[#This Row],[Date]],"mmm")</f>
        <v>May</v>
      </c>
      <c r="C233" s="3">
        <v>44329</v>
      </c>
      <c r="D233" t="s">
        <v>243</v>
      </c>
      <c r="E233" t="s">
        <v>81</v>
      </c>
      <c r="F233" t="s">
        <v>175</v>
      </c>
      <c r="G233" s="1"/>
      <c r="H233">
        <v>409.73</v>
      </c>
      <c r="I233" s="1">
        <f ca="1">IFERROR(OFFSET(Data[[#This Row],[Balance]],-1,0)+Data[[#This Row],[Actual Income]]-Data[[#This Row],[Actual Expense]], Data[[#This Row],[Actual Income]])</f>
        <v>-11190.797499999997</v>
      </c>
      <c r="J233" s="1">
        <f>IF(Data[[#This Row],[Category]]="Savings or Investments", Data[[#This Row],[Actual Expense]],0)</f>
        <v>0</v>
      </c>
    </row>
    <row r="234" spans="1:10" x14ac:dyDescent="0.2">
      <c r="A234" s="5" t="str">
        <f>TEXT(Data[[#This Row],[Date]],"yyyy")</f>
        <v>2021</v>
      </c>
      <c r="B234" s="5" t="str">
        <f>TEXT(Data[[#This Row],[Date]],"mmm")</f>
        <v>May</v>
      </c>
      <c r="C234" s="3">
        <v>44329</v>
      </c>
      <c r="D234" t="s">
        <v>247</v>
      </c>
      <c r="E234" t="s">
        <v>81</v>
      </c>
      <c r="F234" t="s">
        <v>175</v>
      </c>
      <c r="G234" s="1"/>
      <c r="H234">
        <v>385.12</v>
      </c>
      <c r="I234" s="1">
        <f ca="1">IFERROR(OFFSET(Data[[#This Row],[Balance]],-1,0)+Data[[#This Row],[Actual Income]]-Data[[#This Row],[Actual Expense]], Data[[#This Row],[Actual Income]])</f>
        <v>-10805.677499999996</v>
      </c>
      <c r="J234" s="1">
        <f>IF(Data[[#This Row],[Category]]="Savings or Investments", Data[[#This Row],[Actual Expense]],0)</f>
        <v>0</v>
      </c>
    </row>
    <row r="235" spans="1:10" x14ac:dyDescent="0.2">
      <c r="A235" s="5" t="str">
        <f>TEXT(Data[[#This Row],[Date]],"yyyy")</f>
        <v>2021</v>
      </c>
      <c r="B235" s="5" t="str">
        <f>TEXT(Data[[#This Row],[Date]],"mmm")</f>
        <v>May</v>
      </c>
      <c r="C235" s="3">
        <v>44330</v>
      </c>
      <c r="D235" t="s">
        <v>258</v>
      </c>
      <c r="E235" t="s">
        <v>49</v>
      </c>
      <c r="F235" t="s">
        <v>154</v>
      </c>
      <c r="G235" s="1">
        <v>50</v>
      </c>
      <c r="I235" s="1">
        <f ca="1">IFERROR(OFFSET(Data[[#This Row],[Balance]],-1,0)+Data[[#This Row],[Actual Income]]-Data[[#This Row],[Actual Expense]], Data[[#This Row],[Actual Income]])</f>
        <v>-10855.677499999996</v>
      </c>
      <c r="J235" s="1">
        <f>IF(Data[[#This Row],[Category]]="Savings or Investments", Data[[#This Row],[Actual Expense]],0)</f>
        <v>0</v>
      </c>
    </row>
    <row r="236" spans="1:10" x14ac:dyDescent="0.2">
      <c r="A236" s="5" t="str">
        <f>TEXT(Data[[#This Row],[Date]],"yyyy")</f>
        <v>2021</v>
      </c>
      <c r="B236" s="5" t="str">
        <f>TEXT(Data[[#This Row],[Date]],"mmm")</f>
        <v>May</v>
      </c>
      <c r="C236" s="3">
        <v>44331</v>
      </c>
      <c r="D236" t="s">
        <v>60</v>
      </c>
      <c r="E236" t="s">
        <v>31</v>
      </c>
      <c r="F236" t="s">
        <v>30</v>
      </c>
      <c r="G236" s="1">
        <v>7.46</v>
      </c>
      <c r="I236" s="1">
        <f ca="1">IFERROR(OFFSET(Data[[#This Row],[Balance]],-1,0)+Data[[#This Row],[Actual Income]]-Data[[#This Row],[Actual Expense]], Data[[#This Row],[Actual Income]])</f>
        <v>-10863.137499999995</v>
      </c>
      <c r="J236" s="1">
        <f>IF(Data[[#This Row],[Category]]="Savings or Investments", Data[[#This Row],[Actual Expense]],0)</f>
        <v>0</v>
      </c>
    </row>
    <row r="237" spans="1:10" x14ac:dyDescent="0.2">
      <c r="A237" s="5" t="str">
        <f>TEXT(Data[[#This Row],[Date]],"yyyy")</f>
        <v>2021</v>
      </c>
      <c r="B237" s="5" t="str">
        <f>TEXT(Data[[#This Row],[Date]],"mmm")</f>
        <v>May</v>
      </c>
      <c r="C237" s="3">
        <v>44333</v>
      </c>
      <c r="D237" t="s">
        <v>256</v>
      </c>
      <c r="E237" t="s">
        <v>11</v>
      </c>
      <c r="F237" t="s">
        <v>257</v>
      </c>
      <c r="G237" s="1">
        <v>20</v>
      </c>
      <c r="I237" s="1">
        <f ca="1">IFERROR(OFFSET(Data[[#This Row],[Balance]],-1,0)+Data[[#This Row],[Actual Income]]-Data[[#This Row],[Actual Expense]], Data[[#This Row],[Actual Income]])</f>
        <v>-10883.137499999995</v>
      </c>
      <c r="J237" s="1">
        <f>IF(Data[[#This Row],[Category]]="Savings or Investments", Data[[#This Row],[Actual Expense]],0)</f>
        <v>0</v>
      </c>
    </row>
    <row r="238" spans="1:10" x14ac:dyDescent="0.2">
      <c r="A238" s="5" t="str">
        <f>TEXT(Data[[#This Row],[Date]],"yyyy")</f>
        <v>2021</v>
      </c>
      <c r="B238" s="5" t="str">
        <f>TEXT(Data[[#This Row],[Date]],"mmm")</f>
        <v>May</v>
      </c>
      <c r="C238" s="3">
        <v>44335</v>
      </c>
      <c r="D238" t="s">
        <v>254</v>
      </c>
      <c r="E238" t="s">
        <v>51</v>
      </c>
      <c r="F238" t="s">
        <v>32</v>
      </c>
      <c r="G238" s="1">
        <v>45</v>
      </c>
      <c r="I238" s="1">
        <f ca="1">IFERROR(OFFSET(Data[[#This Row],[Balance]],-1,0)+Data[[#This Row],[Actual Income]]-Data[[#This Row],[Actual Expense]], Data[[#This Row],[Actual Income]])</f>
        <v>-10928.137499999995</v>
      </c>
      <c r="J238" s="1">
        <f>IF(Data[[#This Row],[Category]]="Savings or Investments", Data[[#This Row],[Actual Expense]],0)</f>
        <v>0</v>
      </c>
    </row>
    <row r="239" spans="1:10" x14ac:dyDescent="0.2">
      <c r="A239" s="5" t="str">
        <f>TEXT(Data[[#This Row],[Date]],"yyyy")</f>
        <v>2021</v>
      </c>
      <c r="B239" s="5" t="str">
        <f>TEXT(Data[[#This Row],[Date]],"mmm")</f>
        <v>May</v>
      </c>
      <c r="C239" s="3">
        <v>44335</v>
      </c>
      <c r="D239" t="s">
        <v>255</v>
      </c>
      <c r="E239" t="s">
        <v>81</v>
      </c>
      <c r="F239" t="s">
        <v>175</v>
      </c>
      <c r="G239" s="1"/>
      <c r="H239">
        <v>1477.65</v>
      </c>
      <c r="I239" s="1">
        <f ca="1">IFERROR(OFFSET(Data[[#This Row],[Balance]],-1,0)+Data[[#This Row],[Actual Income]]-Data[[#This Row],[Actual Expense]], Data[[#This Row],[Actual Income]])</f>
        <v>-9450.4874999999956</v>
      </c>
      <c r="J239" s="1">
        <f>IF(Data[[#This Row],[Category]]="Savings or Investments", Data[[#This Row],[Actual Expense]],0)</f>
        <v>0</v>
      </c>
    </row>
    <row r="240" spans="1:10" x14ac:dyDescent="0.2">
      <c r="A240" s="5" t="str">
        <f>TEXT(Data[[#This Row],[Date]],"yyyy")</f>
        <v>2021</v>
      </c>
      <c r="B240" s="5" t="str">
        <f>TEXT(Data[[#This Row],[Date]],"mmm")</f>
        <v>May</v>
      </c>
      <c r="C240" s="3">
        <v>44335</v>
      </c>
      <c r="D240" t="s">
        <v>255</v>
      </c>
      <c r="E240" t="s">
        <v>81</v>
      </c>
      <c r="F240" t="s">
        <v>175</v>
      </c>
      <c r="G240" s="1"/>
      <c r="H240">
        <v>1477.65</v>
      </c>
      <c r="I240" s="1">
        <f ca="1">IFERROR(OFFSET(Data[[#This Row],[Balance]],-1,0)+Data[[#This Row],[Actual Income]]-Data[[#This Row],[Actual Expense]], Data[[#This Row],[Actual Income]])</f>
        <v>-7972.837499999996</v>
      </c>
      <c r="J240" s="1">
        <f>IF(Data[[#This Row],[Category]]="Savings or Investments", Data[[#This Row],[Actual Expense]],0)</f>
        <v>0</v>
      </c>
    </row>
    <row r="241" spans="1:10" x14ac:dyDescent="0.2">
      <c r="A241" s="5" t="str">
        <f>TEXT(Data[[#This Row],[Date]],"yyyy")</f>
        <v>2021</v>
      </c>
      <c r="B241" s="5" t="str">
        <f>TEXT(Data[[#This Row],[Date]],"mmm")</f>
        <v>May</v>
      </c>
      <c r="C241" s="3">
        <v>44336</v>
      </c>
      <c r="D241" t="s">
        <v>66</v>
      </c>
      <c r="E241" t="s">
        <v>31</v>
      </c>
      <c r="F241" t="s">
        <v>29</v>
      </c>
      <c r="G241" s="1">
        <v>9.2799999999999994</v>
      </c>
      <c r="I241" s="1">
        <f ca="1">IFERROR(OFFSET(Data[[#This Row],[Balance]],-1,0)+Data[[#This Row],[Actual Income]]-Data[[#This Row],[Actual Expense]], Data[[#This Row],[Actual Income]])</f>
        <v>-7982.1174999999957</v>
      </c>
      <c r="J241" s="1">
        <f>IF(Data[[#This Row],[Category]]="Savings or Investments", Data[[#This Row],[Actual Expense]],0)</f>
        <v>0</v>
      </c>
    </row>
    <row r="242" spans="1:10" x14ac:dyDescent="0.2">
      <c r="A242" s="5" t="str">
        <f>TEXT(Data[[#This Row],[Date]],"yyyy")</f>
        <v>2021</v>
      </c>
      <c r="B242" s="5" t="str">
        <f>TEXT(Data[[#This Row],[Date]],"mmm")</f>
        <v>May</v>
      </c>
      <c r="C242" s="3">
        <v>44337</v>
      </c>
      <c r="D242" t="s">
        <v>59</v>
      </c>
      <c r="E242" t="s">
        <v>31</v>
      </c>
      <c r="F242" t="s">
        <v>55</v>
      </c>
      <c r="G242" s="1">
        <v>9.9600000000000009</v>
      </c>
      <c r="I242" s="1">
        <f ca="1">IFERROR(OFFSET(Data[[#This Row],[Balance]],-1,0)+Data[[#This Row],[Actual Income]]-Data[[#This Row],[Actual Expense]], Data[[#This Row],[Actual Income]])</f>
        <v>-7992.0774999999958</v>
      </c>
      <c r="J242" s="1">
        <f>IF(Data[[#This Row],[Category]]="Savings or Investments", Data[[#This Row],[Actual Expense]],0)</f>
        <v>0</v>
      </c>
    </row>
    <row r="243" spans="1:10" x14ac:dyDescent="0.2">
      <c r="A243" s="5" t="str">
        <f>TEXT(Data[[#This Row],[Date]],"yyyy")</f>
        <v>2021</v>
      </c>
      <c r="B243" s="5" t="str">
        <f>TEXT(Data[[#This Row],[Date]],"mmm")</f>
        <v>May</v>
      </c>
      <c r="C243" s="3">
        <v>44337</v>
      </c>
      <c r="D243" t="s">
        <v>253</v>
      </c>
      <c r="E243" t="s">
        <v>31</v>
      </c>
      <c r="F243" t="s">
        <v>30</v>
      </c>
      <c r="G243" s="1">
        <v>34</v>
      </c>
      <c r="I243" s="1">
        <f ca="1">IFERROR(OFFSET(Data[[#This Row],[Balance]],-1,0)+Data[[#This Row],[Actual Income]]-Data[[#This Row],[Actual Expense]], Data[[#This Row],[Actual Income]])</f>
        <v>-8026.0774999999958</v>
      </c>
      <c r="J243" s="1">
        <f>IF(Data[[#This Row],[Category]]="Savings or Investments", Data[[#This Row],[Actual Expense]],0)</f>
        <v>0</v>
      </c>
    </row>
    <row r="244" spans="1:10" x14ac:dyDescent="0.2">
      <c r="A244" s="5" t="str">
        <f>TEXT(Data[[#This Row],[Date]],"yyyy")</f>
        <v>2021</v>
      </c>
      <c r="B244" s="5" t="str">
        <f>TEXT(Data[[#This Row],[Date]],"mmm")</f>
        <v>May</v>
      </c>
      <c r="C244" s="3">
        <v>44337</v>
      </c>
      <c r="D244" t="s">
        <v>172</v>
      </c>
      <c r="E244" t="s">
        <v>48</v>
      </c>
      <c r="F244" t="s">
        <v>70</v>
      </c>
      <c r="G244" s="1">
        <v>500</v>
      </c>
      <c r="I244" s="1">
        <f ca="1">IFERROR(OFFSET(Data[[#This Row],[Balance]],-1,0)+Data[[#This Row],[Actual Income]]-Data[[#This Row],[Actual Expense]], Data[[#This Row],[Actual Income]])</f>
        <v>-8526.0774999999958</v>
      </c>
      <c r="J244" s="1">
        <f>IF(Data[[#This Row],[Category]]="Savings or Investments", Data[[#This Row],[Actual Expense]],0)</f>
        <v>500</v>
      </c>
    </row>
    <row r="245" spans="1:10" x14ac:dyDescent="0.2">
      <c r="A245" s="5" t="str">
        <f>TEXT(Data[[#This Row],[Date]],"yyyy")</f>
        <v>2021</v>
      </c>
      <c r="B245" s="5" t="str">
        <f>TEXT(Data[[#This Row],[Date]],"mmm")</f>
        <v>May</v>
      </c>
      <c r="C245" s="3">
        <v>44337</v>
      </c>
      <c r="D245" t="s">
        <v>264</v>
      </c>
      <c r="E245" t="s">
        <v>44</v>
      </c>
      <c r="F245" t="s">
        <v>19</v>
      </c>
      <c r="G245" s="1">
        <v>31.15</v>
      </c>
      <c r="I245" s="1">
        <f ca="1">IFERROR(OFFSET(Data[[#This Row],[Balance]],-1,0)+Data[[#This Row],[Actual Income]]-Data[[#This Row],[Actual Expense]], Data[[#This Row],[Actual Income]])</f>
        <v>-8557.2274999999954</v>
      </c>
      <c r="J245" s="1">
        <f>IF(Data[[#This Row],[Category]]="Savings or Investments", Data[[#This Row],[Actual Expense]],0)</f>
        <v>0</v>
      </c>
    </row>
    <row r="246" spans="1:10" x14ac:dyDescent="0.2">
      <c r="A246" s="5" t="str">
        <f>TEXT(Data[[#This Row],[Date]],"yyyy")</f>
        <v>2021</v>
      </c>
      <c r="B246" s="5" t="str">
        <f>TEXT(Data[[#This Row],[Date]],"mmm")</f>
        <v>May</v>
      </c>
      <c r="C246" s="3">
        <v>44337</v>
      </c>
      <c r="D246" t="s">
        <v>83</v>
      </c>
      <c r="E246" t="s">
        <v>81</v>
      </c>
      <c r="F246" t="s">
        <v>174</v>
      </c>
      <c r="G246" s="1"/>
      <c r="H246">
        <v>1876.04</v>
      </c>
      <c r="I246" s="1">
        <f ca="1">IFERROR(OFFSET(Data[[#This Row],[Balance]],-1,0)+Data[[#This Row],[Actual Income]]-Data[[#This Row],[Actual Expense]], Data[[#This Row],[Actual Income]])</f>
        <v>-6681.1874999999955</v>
      </c>
      <c r="J246" s="1">
        <f>IF(Data[[#This Row],[Category]]="Savings or Investments", Data[[#This Row],[Actual Expense]],0)</f>
        <v>0</v>
      </c>
    </row>
    <row r="247" spans="1:10" x14ac:dyDescent="0.2">
      <c r="A247" s="5" t="str">
        <f>TEXT(Data[[#This Row],[Date]],"yyyy")</f>
        <v>2021</v>
      </c>
      <c r="B247" s="5" t="str">
        <f>TEXT(Data[[#This Row],[Date]],"mmm")</f>
        <v>May</v>
      </c>
      <c r="C247" s="3">
        <v>44338</v>
      </c>
      <c r="D247" t="s">
        <v>263</v>
      </c>
      <c r="E247" t="s">
        <v>31</v>
      </c>
      <c r="F247" t="s">
        <v>30</v>
      </c>
      <c r="G247" s="1">
        <f>41.43-20.72</f>
        <v>20.71</v>
      </c>
      <c r="I247" s="1">
        <f ca="1">IFERROR(OFFSET(Data[[#This Row],[Balance]],-1,0)+Data[[#This Row],[Actual Income]]-Data[[#This Row],[Actual Expense]], Data[[#This Row],[Actual Income]])</f>
        <v>-6701.8974999999955</v>
      </c>
      <c r="J247" s="1">
        <f>IF(Data[[#This Row],[Category]]="Savings or Investments", Data[[#This Row],[Actual Expense]],0)</f>
        <v>0</v>
      </c>
    </row>
    <row r="248" spans="1:10" x14ac:dyDescent="0.2">
      <c r="A248" s="5" t="str">
        <f>TEXT(Data[[#This Row],[Date]],"yyyy")</f>
        <v>2021</v>
      </c>
      <c r="B248" s="5" t="str">
        <f>TEXT(Data[[#This Row],[Date]],"mmm")</f>
        <v>May</v>
      </c>
      <c r="C248" s="3">
        <v>44338</v>
      </c>
      <c r="D248" t="s">
        <v>99</v>
      </c>
      <c r="E248" t="s">
        <v>31</v>
      </c>
      <c r="F248" t="s">
        <v>29</v>
      </c>
      <c r="G248" s="1">
        <v>64.41</v>
      </c>
      <c r="I248" s="1">
        <f ca="1">IFERROR(OFFSET(Data[[#This Row],[Balance]],-1,0)+Data[[#This Row],[Actual Income]]-Data[[#This Row],[Actual Expense]], Data[[#This Row],[Actual Income]])</f>
        <v>-6766.3074999999953</v>
      </c>
      <c r="J248" s="1">
        <f>IF(Data[[#This Row],[Category]]="Savings or Investments", Data[[#This Row],[Actual Expense]],0)</f>
        <v>0</v>
      </c>
    </row>
    <row r="249" spans="1:10" x14ac:dyDescent="0.2">
      <c r="A249" s="5" t="str">
        <f>TEXT(Data[[#This Row],[Date]],"yyyy")</f>
        <v>2021</v>
      </c>
      <c r="B249" s="5" t="str">
        <f>TEXT(Data[[#This Row],[Date]],"mmm")</f>
        <v>May</v>
      </c>
      <c r="C249" s="3">
        <v>44340</v>
      </c>
      <c r="D249" t="s">
        <v>162</v>
      </c>
      <c r="E249" t="s">
        <v>31</v>
      </c>
      <c r="F249" t="s">
        <v>55</v>
      </c>
      <c r="G249" s="1">
        <v>6.5</v>
      </c>
      <c r="I249" s="1">
        <f ca="1">IFERROR(OFFSET(Data[[#This Row],[Balance]],-1,0)+Data[[#This Row],[Actual Income]]-Data[[#This Row],[Actual Expense]], Data[[#This Row],[Actual Income]])</f>
        <v>-6772.8074999999953</v>
      </c>
      <c r="J249" s="1">
        <f>IF(Data[[#This Row],[Category]]="Savings or Investments", Data[[#This Row],[Actual Expense]],0)</f>
        <v>0</v>
      </c>
    </row>
    <row r="250" spans="1:10" x14ac:dyDescent="0.2">
      <c r="A250" s="5" t="str">
        <f>TEXT(Data[[#This Row],[Date]],"yyyy")</f>
        <v>2021</v>
      </c>
      <c r="B250" s="5" t="str">
        <f>TEXT(Data[[#This Row],[Date]],"mmm")</f>
        <v>May</v>
      </c>
      <c r="C250" s="3">
        <v>44340</v>
      </c>
      <c r="D250" t="s">
        <v>250</v>
      </c>
      <c r="E250" t="s">
        <v>81</v>
      </c>
      <c r="F250" t="s">
        <v>175</v>
      </c>
      <c r="G250" s="1"/>
      <c r="H250">
        <v>2454.2600000000002</v>
      </c>
      <c r="I250" s="1">
        <f ca="1">IFERROR(OFFSET(Data[[#This Row],[Balance]],-1,0)+Data[[#This Row],[Actual Income]]-Data[[#This Row],[Actual Expense]], Data[[#This Row],[Actual Income]])</f>
        <v>-4318.5474999999951</v>
      </c>
      <c r="J250" s="1">
        <f>IF(Data[[#This Row],[Category]]="Savings or Investments", Data[[#This Row],[Actual Expense]],0)</f>
        <v>0</v>
      </c>
    </row>
    <row r="251" spans="1:10" x14ac:dyDescent="0.2">
      <c r="A251" s="5" t="str">
        <f>TEXT(Data[[#This Row],[Date]],"yyyy")</f>
        <v>2021</v>
      </c>
      <c r="B251" s="5" t="str">
        <f>TEXT(Data[[#This Row],[Date]],"mmm")</f>
        <v>May</v>
      </c>
      <c r="C251" s="3">
        <v>44340</v>
      </c>
      <c r="D251" t="s">
        <v>251</v>
      </c>
      <c r="E251" t="s">
        <v>81</v>
      </c>
      <c r="F251" t="s">
        <v>175</v>
      </c>
      <c r="G251" s="1"/>
      <c r="H251">
        <v>2187.89</v>
      </c>
      <c r="I251" s="1">
        <f ca="1">IFERROR(OFFSET(Data[[#This Row],[Balance]],-1,0)+Data[[#This Row],[Actual Income]]-Data[[#This Row],[Actual Expense]], Data[[#This Row],[Actual Income]])</f>
        <v>-2130.6574999999953</v>
      </c>
      <c r="J251" s="1">
        <f>IF(Data[[#This Row],[Category]]="Savings or Investments", Data[[#This Row],[Actual Expense]],0)</f>
        <v>0</v>
      </c>
    </row>
    <row r="252" spans="1:10" x14ac:dyDescent="0.2">
      <c r="A252" s="5" t="str">
        <f>TEXT(Data[[#This Row],[Date]],"yyyy")</f>
        <v>2021</v>
      </c>
      <c r="B252" s="5" t="str">
        <f>TEXT(Data[[#This Row],[Date]],"mmm")</f>
        <v>May</v>
      </c>
      <c r="C252" s="3">
        <v>44340</v>
      </c>
      <c r="D252" t="s">
        <v>252</v>
      </c>
      <c r="E252" t="s">
        <v>81</v>
      </c>
      <c r="F252" t="s">
        <v>175</v>
      </c>
      <c r="G252" s="1"/>
      <c r="H252">
        <v>1945.77</v>
      </c>
      <c r="I252" s="1">
        <f ca="1">IFERROR(OFFSET(Data[[#This Row],[Balance]],-1,0)+Data[[#This Row],[Actual Income]]-Data[[#This Row],[Actual Expense]], Data[[#This Row],[Actual Income]])</f>
        <v>-184.88749999999527</v>
      </c>
      <c r="J252" s="1">
        <f>IF(Data[[#This Row],[Category]]="Savings or Investments", Data[[#This Row],[Actual Expense]],0)</f>
        <v>0</v>
      </c>
    </row>
    <row r="253" spans="1:10" x14ac:dyDescent="0.2">
      <c r="A253" s="5" t="str">
        <f>TEXT(Data[[#This Row],[Date]],"yyyy")</f>
        <v>2021</v>
      </c>
      <c r="B253" s="5" t="str">
        <f>TEXT(Data[[#This Row],[Date]],"mmm")</f>
        <v>May</v>
      </c>
      <c r="C253" s="3">
        <v>44341</v>
      </c>
      <c r="D253" t="s">
        <v>172</v>
      </c>
      <c r="E253" t="s">
        <v>48</v>
      </c>
      <c r="F253" t="s">
        <v>70</v>
      </c>
      <c r="G253" s="1">
        <v>100</v>
      </c>
      <c r="I253" s="1">
        <f ca="1">IFERROR(OFFSET(Data[[#This Row],[Balance]],-1,0)+Data[[#This Row],[Actual Income]]-Data[[#This Row],[Actual Expense]], Data[[#This Row],[Actual Income]])</f>
        <v>-284.88749999999527</v>
      </c>
      <c r="J253" s="1">
        <f>IF(Data[[#This Row],[Category]]="Savings or Investments", Data[[#This Row],[Actual Expense]],0)</f>
        <v>100</v>
      </c>
    </row>
    <row r="254" spans="1:10" x14ac:dyDescent="0.2">
      <c r="A254" s="5" t="str">
        <f>TEXT(Data[[#This Row],[Date]],"yyyy")</f>
        <v>2021</v>
      </c>
      <c r="B254" s="5" t="str">
        <f>TEXT(Data[[#This Row],[Date]],"mmm")</f>
        <v>May</v>
      </c>
      <c r="C254" s="3">
        <v>44341</v>
      </c>
      <c r="D254" t="s">
        <v>172</v>
      </c>
      <c r="E254" t="s">
        <v>48</v>
      </c>
      <c r="F254" t="s">
        <v>70</v>
      </c>
      <c r="G254" s="1">
        <v>100</v>
      </c>
      <c r="I254" s="1">
        <f ca="1">IFERROR(OFFSET(Data[[#This Row],[Balance]],-1,0)+Data[[#This Row],[Actual Income]]-Data[[#This Row],[Actual Expense]], Data[[#This Row],[Actual Income]])</f>
        <v>-384.88749999999527</v>
      </c>
      <c r="J254" s="1">
        <f>IF(Data[[#This Row],[Category]]="Savings or Investments", Data[[#This Row],[Actual Expense]],0)</f>
        <v>100</v>
      </c>
    </row>
    <row r="255" spans="1:10" x14ac:dyDescent="0.2">
      <c r="A255" s="5" t="str">
        <f>TEXT(Data[[#This Row],[Date]],"yyyy")</f>
        <v>2021</v>
      </c>
      <c r="B255" s="5" t="str">
        <f>TEXT(Data[[#This Row],[Date]],"mmm")</f>
        <v>May</v>
      </c>
      <c r="C255" s="3">
        <v>44341</v>
      </c>
      <c r="D255" t="s">
        <v>59</v>
      </c>
      <c r="E255" t="s">
        <v>31</v>
      </c>
      <c r="F255" t="s">
        <v>55</v>
      </c>
      <c r="G255" s="1">
        <f>10.88-7.53</f>
        <v>3.3500000000000005</v>
      </c>
      <c r="I255" s="1">
        <f ca="1">IFERROR(OFFSET(Data[[#This Row],[Balance]],-1,0)+Data[[#This Row],[Actual Income]]-Data[[#This Row],[Actual Expense]], Data[[#This Row],[Actual Income]])</f>
        <v>-388.23749999999529</v>
      </c>
      <c r="J255" s="1">
        <f>IF(Data[[#This Row],[Category]]="Savings or Investments", Data[[#This Row],[Actual Expense]],0)</f>
        <v>0</v>
      </c>
    </row>
    <row r="256" spans="1:10" x14ac:dyDescent="0.2">
      <c r="A256" s="5" t="str">
        <f>TEXT(Data[[#This Row],[Date]],"yyyy")</f>
        <v>2021</v>
      </c>
      <c r="B256" s="5" t="str">
        <f>TEXT(Data[[#This Row],[Date]],"mmm")</f>
        <v>May</v>
      </c>
      <c r="C256" s="3">
        <v>44341</v>
      </c>
      <c r="D256" t="s">
        <v>59</v>
      </c>
      <c r="E256" t="s">
        <v>31</v>
      </c>
      <c r="F256" t="s">
        <v>55</v>
      </c>
      <c r="G256" s="1">
        <v>8.5</v>
      </c>
      <c r="I256" s="1">
        <f ca="1">IFERROR(OFFSET(Data[[#This Row],[Balance]],-1,0)+Data[[#This Row],[Actual Income]]-Data[[#This Row],[Actual Expense]], Data[[#This Row],[Actual Income]])</f>
        <v>-396.73749999999529</v>
      </c>
      <c r="J256" s="1">
        <f>IF(Data[[#This Row],[Category]]="Savings or Investments", Data[[#This Row],[Actual Expense]],0)</f>
        <v>0</v>
      </c>
    </row>
    <row r="257" spans="1:10" x14ac:dyDescent="0.2">
      <c r="A257" s="5" t="str">
        <f>TEXT(Data[[#This Row],[Date]],"yyyy")</f>
        <v>2021</v>
      </c>
      <c r="B257" s="5" t="str">
        <f>TEXT(Data[[#This Row],[Date]],"mmm")</f>
        <v>May</v>
      </c>
      <c r="C257" s="3">
        <v>44342</v>
      </c>
      <c r="D257" t="s">
        <v>172</v>
      </c>
      <c r="E257" t="s">
        <v>48</v>
      </c>
      <c r="F257" t="s">
        <v>70</v>
      </c>
      <c r="G257" s="1">
        <v>100</v>
      </c>
      <c r="I257" s="1">
        <f ca="1">IFERROR(OFFSET(Data[[#This Row],[Balance]],-1,0)+Data[[#This Row],[Actual Income]]-Data[[#This Row],[Actual Expense]], Data[[#This Row],[Actual Income]])</f>
        <v>-496.73749999999529</v>
      </c>
      <c r="J257" s="1">
        <f>IF(Data[[#This Row],[Category]]="Savings or Investments", Data[[#This Row],[Actual Expense]],0)</f>
        <v>100</v>
      </c>
    </row>
    <row r="258" spans="1:10" x14ac:dyDescent="0.2">
      <c r="A258" s="5" t="str">
        <f>TEXT(Data[[#This Row],[Date]],"yyyy")</f>
        <v>2021</v>
      </c>
      <c r="B258" s="5" t="str">
        <f>TEXT(Data[[#This Row],[Date]],"mmm")</f>
        <v>May</v>
      </c>
      <c r="C258" s="3">
        <v>44342</v>
      </c>
      <c r="D258" t="s">
        <v>172</v>
      </c>
      <c r="E258" t="s">
        <v>48</v>
      </c>
      <c r="F258" t="s">
        <v>70</v>
      </c>
      <c r="G258" s="1">
        <v>100</v>
      </c>
      <c r="I258" s="1">
        <f ca="1">IFERROR(OFFSET(Data[[#This Row],[Balance]],-1,0)+Data[[#This Row],[Actual Income]]-Data[[#This Row],[Actual Expense]], Data[[#This Row],[Actual Income]])</f>
        <v>-596.73749999999529</v>
      </c>
      <c r="J258" s="1">
        <f>IF(Data[[#This Row],[Category]]="Savings or Investments", Data[[#This Row],[Actual Expense]],0)</f>
        <v>100</v>
      </c>
    </row>
    <row r="259" spans="1:10" x14ac:dyDescent="0.2">
      <c r="A259" s="5" t="str">
        <f>TEXT(Data[[#This Row],[Date]],"yyyy")</f>
        <v>2021</v>
      </c>
      <c r="B259" s="5" t="str">
        <f>TEXT(Data[[#This Row],[Date]],"mmm")</f>
        <v>May</v>
      </c>
      <c r="C259" s="3">
        <v>44342</v>
      </c>
      <c r="D259" t="s">
        <v>172</v>
      </c>
      <c r="E259" t="s">
        <v>48</v>
      </c>
      <c r="F259" t="s">
        <v>70</v>
      </c>
      <c r="G259" s="1">
        <v>200</v>
      </c>
      <c r="I259" s="1">
        <f ca="1">IFERROR(OFFSET(Data[[#This Row],[Balance]],-1,0)+Data[[#This Row],[Actual Income]]-Data[[#This Row],[Actual Expense]], Data[[#This Row],[Actual Income]])</f>
        <v>-796.73749999999529</v>
      </c>
      <c r="J259" s="1">
        <f>IF(Data[[#This Row],[Category]]="Savings or Investments", Data[[#This Row],[Actual Expense]],0)</f>
        <v>200</v>
      </c>
    </row>
    <row r="260" spans="1:10" x14ac:dyDescent="0.2">
      <c r="A260" s="5" t="str">
        <f>TEXT(Data[[#This Row],[Date]],"yyyy")</f>
        <v>2021</v>
      </c>
      <c r="B260" s="5" t="str">
        <f>TEXT(Data[[#This Row],[Date]],"mmm")</f>
        <v>May</v>
      </c>
      <c r="C260" s="3">
        <v>44343</v>
      </c>
      <c r="D260" t="s">
        <v>172</v>
      </c>
      <c r="E260" t="s">
        <v>48</v>
      </c>
      <c r="F260" t="s">
        <v>70</v>
      </c>
      <c r="G260" s="1">
        <v>200</v>
      </c>
      <c r="I260" s="1">
        <f ca="1">IFERROR(OFFSET(Data[[#This Row],[Balance]],-1,0)+Data[[#This Row],[Actual Income]]-Data[[#This Row],[Actual Expense]], Data[[#This Row],[Actual Income]])</f>
        <v>-996.73749999999529</v>
      </c>
      <c r="J260" s="1">
        <f>IF(Data[[#This Row],[Category]]="Savings or Investments", Data[[#This Row],[Actual Expense]],0)</f>
        <v>200</v>
      </c>
    </row>
    <row r="261" spans="1:10" x14ac:dyDescent="0.2">
      <c r="A261" s="5" t="str">
        <f>TEXT(Data[[#This Row],[Date]],"yyyy")</f>
        <v>2021</v>
      </c>
      <c r="B261" s="5" t="str">
        <f>TEXT(Data[[#This Row],[Date]],"mmm")</f>
        <v>May</v>
      </c>
      <c r="C261" s="3">
        <v>44343</v>
      </c>
      <c r="D261" t="s">
        <v>172</v>
      </c>
      <c r="E261" t="s">
        <v>48</v>
      </c>
      <c r="F261" t="s">
        <v>70</v>
      </c>
      <c r="G261" s="1">
        <v>500</v>
      </c>
      <c r="I261" s="1">
        <f ca="1">IFERROR(OFFSET(Data[[#This Row],[Balance]],-1,0)+Data[[#This Row],[Actual Income]]-Data[[#This Row],[Actual Expense]], Data[[#This Row],[Actual Income]])</f>
        <v>-1496.7374999999952</v>
      </c>
      <c r="J261" s="1">
        <f>IF(Data[[#This Row],[Category]]="Savings or Investments", Data[[#This Row],[Actual Expense]],0)</f>
        <v>500</v>
      </c>
    </row>
    <row r="262" spans="1:10" x14ac:dyDescent="0.2">
      <c r="A262" s="5" t="str">
        <f>TEXT(Data[[#This Row],[Date]],"yyyy")</f>
        <v>2021</v>
      </c>
      <c r="B262" s="5" t="str">
        <f>TEXT(Data[[#This Row],[Date]],"mmm")</f>
        <v>May</v>
      </c>
      <c r="C262" s="3">
        <v>44343</v>
      </c>
      <c r="D262" t="s">
        <v>59</v>
      </c>
      <c r="E262" t="s">
        <v>31</v>
      </c>
      <c r="F262" t="s">
        <v>55</v>
      </c>
      <c r="G262" s="1">
        <v>8.25</v>
      </c>
      <c r="I262" s="1">
        <f ca="1">IFERROR(OFFSET(Data[[#This Row],[Balance]],-1,0)+Data[[#This Row],[Actual Income]]-Data[[#This Row],[Actual Expense]], Data[[#This Row],[Actual Income]])</f>
        <v>-1504.9874999999952</v>
      </c>
      <c r="J262" s="1">
        <f>IF(Data[[#This Row],[Category]]="Savings or Investments", Data[[#This Row],[Actual Expense]],0)</f>
        <v>0</v>
      </c>
    </row>
    <row r="263" spans="1:10" x14ac:dyDescent="0.2">
      <c r="A263" s="5" t="str">
        <f>TEXT(Data[[#This Row],[Date]],"yyyy")</f>
        <v>2021</v>
      </c>
      <c r="B263" s="5" t="str">
        <f>TEXT(Data[[#This Row],[Date]],"mmm")</f>
        <v>May</v>
      </c>
      <c r="C263" s="3">
        <v>44343</v>
      </c>
      <c r="D263" t="s">
        <v>262</v>
      </c>
      <c r="E263" t="s">
        <v>31</v>
      </c>
      <c r="F263" t="s">
        <v>55</v>
      </c>
      <c r="G263" s="1">
        <f>21.54-6</f>
        <v>15.54</v>
      </c>
      <c r="I263" s="1">
        <f ca="1">IFERROR(OFFSET(Data[[#This Row],[Balance]],-1,0)+Data[[#This Row],[Actual Income]]-Data[[#This Row],[Actual Expense]], Data[[#This Row],[Actual Income]])</f>
        <v>-1520.5274999999951</v>
      </c>
      <c r="J263" s="1">
        <f>IF(Data[[#This Row],[Category]]="Savings or Investments", Data[[#This Row],[Actual Expense]],0)</f>
        <v>0</v>
      </c>
    </row>
    <row r="264" spans="1:10" x14ac:dyDescent="0.2">
      <c r="A264" s="5" t="str">
        <f>TEXT(Data[[#This Row],[Date]],"yyyy")</f>
        <v>2021</v>
      </c>
      <c r="B264" s="5" t="str">
        <f>TEXT(Data[[#This Row],[Date]],"mmm")</f>
        <v>May</v>
      </c>
      <c r="C264" s="3">
        <v>44344</v>
      </c>
      <c r="D264" t="s">
        <v>172</v>
      </c>
      <c r="E264" t="s">
        <v>48</v>
      </c>
      <c r="F264" t="s">
        <v>70</v>
      </c>
      <c r="G264" s="1">
        <v>200</v>
      </c>
      <c r="I264" s="1">
        <f ca="1">IFERROR(OFFSET(Data[[#This Row],[Balance]],-1,0)+Data[[#This Row],[Actual Income]]-Data[[#This Row],[Actual Expense]], Data[[#This Row],[Actual Income]])</f>
        <v>-1720.5274999999951</v>
      </c>
      <c r="J264" s="1">
        <f>IF(Data[[#This Row],[Category]]="Savings or Investments", Data[[#This Row],[Actual Expense]],0)</f>
        <v>200</v>
      </c>
    </row>
    <row r="265" spans="1:10" x14ac:dyDescent="0.2">
      <c r="A265" s="5" t="str">
        <f>TEXT(Data[[#This Row],[Date]],"yyyy")</f>
        <v>2021</v>
      </c>
      <c r="B265" s="5" t="str">
        <f>TEXT(Data[[#This Row],[Date]],"mmm")</f>
        <v>May</v>
      </c>
      <c r="C265" s="3">
        <v>44345</v>
      </c>
      <c r="D265" t="s">
        <v>68</v>
      </c>
      <c r="E265" t="s">
        <v>31</v>
      </c>
      <c r="F265" t="s">
        <v>30</v>
      </c>
      <c r="G265" s="1">
        <v>18.27</v>
      </c>
      <c r="I265" s="1">
        <f ca="1">IFERROR(OFFSET(Data[[#This Row],[Balance]],-1,0)+Data[[#This Row],[Actual Income]]-Data[[#This Row],[Actual Expense]], Data[[#This Row],[Actual Income]])</f>
        <v>-1738.7974999999951</v>
      </c>
      <c r="J265" s="1">
        <f>IF(Data[[#This Row],[Category]]="Savings or Investments", Data[[#This Row],[Actual Expense]],0)</f>
        <v>0</v>
      </c>
    </row>
    <row r="266" spans="1:10" x14ac:dyDescent="0.2">
      <c r="A266" s="5" t="str">
        <f>TEXT(Data[[#This Row],[Date]],"yyyy")</f>
        <v>2021</v>
      </c>
      <c r="B266" s="5" t="str">
        <f>TEXT(Data[[#This Row],[Date]],"mmm")</f>
        <v>May</v>
      </c>
      <c r="C266" s="3">
        <v>44345</v>
      </c>
      <c r="D266" t="s">
        <v>99</v>
      </c>
      <c r="E266" t="s">
        <v>31</v>
      </c>
      <c r="F266" t="s">
        <v>29</v>
      </c>
      <c r="G266" s="1">
        <v>63.44</v>
      </c>
      <c r="I266" s="1">
        <f ca="1">IFERROR(OFFSET(Data[[#This Row],[Balance]],-1,0)+Data[[#This Row],[Actual Income]]-Data[[#This Row],[Actual Expense]], Data[[#This Row],[Actual Income]])</f>
        <v>-1802.2374999999952</v>
      </c>
      <c r="J266" s="1">
        <f>IF(Data[[#This Row],[Category]]="Savings or Investments", Data[[#This Row],[Actual Expense]],0)</f>
        <v>0</v>
      </c>
    </row>
    <row r="267" spans="1:10" x14ac:dyDescent="0.2">
      <c r="A267" s="5" t="str">
        <f>TEXT(Data[[#This Row],[Date]],"yyyy")</f>
        <v>2021</v>
      </c>
      <c r="B267" s="5" t="str">
        <f>TEXT(Data[[#This Row],[Date]],"mmm")</f>
        <v>May</v>
      </c>
      <c r="C267" s="3">
        <v>44346</v>
      </c>
      <c r="D267" t="s">
        <v>164</v>
      </c>
      <c r="E267" t="s">
        <v>44</v>
      </c>
      <c r="F267" t="s">
        <v>19</v>
      </c>
      <c r="G267" s="1">
        <v>29.11</v>
      </c>
      <c r="I267" s="1">
        <f ca="1">IFERROR(OFFSET(Data[[#This Row],[Balance]],-1,0)+Data[[#This Row],[Actual Income]]-Data[[#This Row],[Actual Expense]], Data[[#This Row],[Actual Income]])</f>
        <v>-1831.3474999999951</v>
      </c>
      <c r="J267" s="1">
        <f>IF(Data[[#This Row],[Category]]="Savings or Investments", Data[[#This Row],[Actual Expense]],0)</f>
        <v>0</v>
      </c>
    </row>
    <row r="268" spans="1:10" x14ac:dyDescent="0.2">
      <c r="A268" s="5" t="str">
        <f>TEXT(Data[[#This Row],[Date]],"yyyy")</f>
        <v>2021</v>
      </c>
      <c r="B268" s="5" t="str">
        <f>TEXT(Data[[#This Row],[Date]],"mmm")</f>
        <v>May</v>
      </c>
      <c r="C268" s="3">
        <v>44347</v>
      </c>
      <c r="D268" t="s">
        <v>261</v>
      </c>
      <c r="E268" t="s">
        <v>31</v>
      </c>
      <c r="F268" t="s">
        <v>55</v>
      </c>
      <c r="G268" s="1">
        <v>6.17</v>
      </c>
      <c r="I268" s="1">
        <f ca="1">IFERROR(OFFSET(Data[[#This Row],[Balance]],-1,0)+Data[[#This Row],[Actual Income]]-Data[[#This Row],[Actual Expense]], Data[[#This Row],[Actual Income]])</f>
        <v>-1837.5174999999952</v>
      </c>
      <c r="J268" s="1">
        <f>IF(Data[[#This Row],[Category]]="Savings or Investments", Data[[#This Row],[Actual Expense]],0)</f>
        <v>0</v>
      </c>
    </row>
    <row r="269" spans="1:10" x14ac:dyDescent="0.2">
      <c r="A269" s="5" t="str">
        <f>TEXT(Data[[#This Row],[Date]],"yyyy")</f>
        <v>2021</v>
      </c>
      <c r="B269" s="5" t="str">
        <f>TEXT(Data[[#This Row],[Date]],"mmm")</f>
        <v>May</v>
      </c>
      <c r="C269" s="3">
        <v>44347</v>
      </c>
      <c r="D269" t="s">
        <v>99</v>
      </c>
      <c r="E269" t="s">
        <v>31</v>
      </c>
      <c r="F269" t="s">
        <v>29</v>
      </c>
      <c r="G269" s="1">
        <v>4.3</v>
      </c>
      <c r="I269" s="1">
        <f ca="1">IFERROR(OFFSET(Data[[#This Row],[Balance]],-1,0)+Data[[#This Row],[Actual Income]]-Data[[#This Row],[Actual Expense]], Data[[#This Row],[Actual Income]])</f>
        <v>-1841.8174999999951</v>
      </c>
      <c r="J269" s="1">
        <f>IF(Data[[#This Row],[Category]]="Savings or Investments", Data[[#This Row],[Actual Expense]],0)</f>
        <v>0</v>
      </c>
    </row>
    <row r="270" spans="1:10" x14ac:dyDescent="0.2">
      <c r="A270" s="5" t="str">
        <f>TEXT(Data[[#This Row],[Date]],"yyyy")</f>
        <v>2021</v>
      </c>
      <c r="B270" s="5" t="str">
        <f>TEXT(Data[[#This Row],[Date]],"mmm")</f>
        <v>Jun</v>
      </c>
      <c r="C270" s="3">
        <v>44348</v>
      </c>
      <c r="D270" t="s">
        <v>172</v>
      </c>
      <c r="E270" t="s">
        <v>48</v>
      </c>
      <c r="F270" t="s">
        <v>70</v>
      </c>
      <c r="G270" s="1">
        <v>100</v>
      </c>
      <c r="I270" s="1">
        <f ca="1">IFERROR(OFFSET(Data[[#This Row],[Balance]],-1,0)+Data[[#This Row],[Actual Income]]-Data[[#This Row],[Actual Expense]], Data[[#This Row],[Actual Income]])</f>
        <v>-1941.8174999999951</v>
      </c>
      <c r="J270" s="1">
        <f>IF(Data[[#This Row],[Category]]="Savings or Investments", Data[[#This Row],[Actual Expense]],0)</f>
        <v>100</v>
      </c>
    </row>
    <row r="271" spans="1:10" x14ac:dyDescent="0.2">
      <c r="A271" s="5" t="str">
        <f>TEXT(Data[[#This Row],[Date]],"yyyy")</f>
        <v>2021</v>
      </c>
      <c r="B271" s="5" t="str">
        <f>TEXT(Data[[#This Row],[Date]],"mmm")</f>
        <v>Jun</v>
      </c>
      <c r="C271" s="3">
        <v>44348</v>
      </c>
      <c r="D271" t="s">
        <v>172</v>
      </c>
      <c r="E271" t="s">
        <v>48</v>
      </c>
      <c r="F271" t="s">
        <v>70</v>
      </c>
      <c r="G271" s="1">
        <v>100</v>
      </c>
      <c r="I271" s="1">
        <f ca="1">IFERROR(OFFSET(Data[[#This Row],[Balance]],-1,0)+Data[[#This Row],[Actual Income]]-Data[[#This Row],[Actual Expense]], Data[[#This Row],[Actual Income]])</f>
        <v>-2041.8174999999951</v>
      </c>
      <c r="J271" s="1">
        <f>IF(Data[[#This Row],[Category]]="Savings or Investments", Data[[#This Row],[Actual Expense]],0)</f>
        <v>100</v>
      </c>
    </row>
    <row r="272" spans="1:10" x14ac:dyDescent="0.2">
      <c r="A272" s="5" t="str">
        <f>TEXT(Data[[#This Row],[Date]],"yyyy")</f>
        <v>2021</v>
      </c>
      <c r="B272" s="5" t="str">
        <f>TEXT(Data[[#This Row],[Date]],"mmm")</f>
        <v>Jun</v>
      </c>
      <c r="C272" s="3">
        <v>44348</v>
      </c>
      <c r="D272" t="s">
        <v>52</v>
      </c>
      <c r="E272" t="s">
        <v>42</v>
      </c>
      <c r="F272" t="s">
        <v>0</v>
      </c>
      <c r="G272" s="1">
        <v>500</v>
      </c>
      <c r="I272" s="1">
        <f ca="1">IFERROR(OFFSET(Data[[#This Row],[Balance]],-1,0)+Data[[#This Row],[Actual Income]]-Data[[#This Row],[Actual Expense]], Data[[#This Row],[Actual Income]])</f>
        <v>-2541.8174999999951</v>
      </c>
      <c r="J272" s="1">
        <f>IF(Data[[#This Row],[Category]]="Savings or Investments", Data[[#This Row],[Actual Expense]],0)</f>
        <v>0</v>
      </c>
    </row>
    <row r="273" spans="1:10" x14ac:dyDescent="0.2">
      <c r="A273" s="5" t="str">
        <f>TEXT(Data[[#This Row],[Date]],"yyyy")</f>
        <v>2021</v>
      </c>
      <c r="B273" s="5" t="str">
        <f>TEXT(Data[[#This Row],[Date]],"mmm")</f>
        <v>Jun</v>
      </c>
      <c r="C273" s="3">
        <v>44348</v>
      </c>
      <c r="D273" t="s">
        <v>68</v>
      </c>
      <c r="E273" t="s">
        <v>31</v>
      </c>
      <c r="F273" t="s">
        <v>30</v>
      </c>
      <c r="G273" s="1">
        <f>16.43-8</f>
        <v>8.43</v>
      </c>
      <c r="I273" s="1">
        <f ca="1">IFERROR(OFFSET(Data[[#This Row],[Balance]],-1,0)+Data[[#This Row],[Actual Income]]-Data[[#This Row],[Actual Expense]], Data[[#This Row],[Actual Income]])</f>
        <v>-2550.2474999999949</v>
      </c>
      <c r="J273" s="1">
        <f>IF(Data[[#This Row],[Category]]="Savings or Investments", Data[[#This Row],[Actual Expense]],0)</f>
        <v>0</v>
      </c>
    </row>
    <row r="274" spans="1:10" x14ac:dyDescent="0.2">
      <c r="A274" s="5" t="str">
        <f>TEXT(Data[[#This Row],[Date]],"yyyy")</f>
        <v>2021</v>
      </c>
      <c r="B274" s="5" t="str">
        <f>TEXT(Data[[#This Row],[Date]],"mmm")</f>
        <v>Jun</v>
      </c>
      <c r="C274" s="3">
        <v>44348</v>
      </c>
      <c r="D274" t="s">
        <v>260</v>
      </c>
      <c r="E274" t="s">
        <v>31</v>
      </c>
      <c r="F274" t="s">
        <v>30</v>
      </c>
      <c r="G274" s="1">
        <v>10.58</v>
      </c>
      <c r="I274" s="1">
        <f ca="1">IFERROR(OFFSET(Data[[#This Row],[Balance]],-1,0)+Data[[#This Row],[Actual Income]]-Data[[#This Row],[Actual Expense]], Data[[#This Row],[Actual Income]])</f>
        <v>-2560.8274999999949</v>
      </c>
      <c r="J274" s="1">
        <f>IF(Data[[#This Row],[Category]]="Savings or Investments", Data[[#This Row],[Actual Expense]],0)</f>
        <v>0</v>
      </c>
    </row>
    <row r="275" spans="1:10" x14ac:dyDescent="0.2">
      <c r="A275" s="5" t="str">
        <f>TEXT(Data[[#This Row],[Date]],"yyyy")</f>
        <v>2021</v>
      </c>
      <c r="B275" s="5" t="str">
        <f>TEXT(Data[[#This Row],[Date]],"mmm")</f>
        <v>Jun</v>
      </c>
      <c r="C275" s="3">
        <v>44348</v>
      </c>
      <c r="D275" t="s">
        <v>260</v>
      </c>
      <c r="E275" t="s">
        <v>31</v>
      </c>
      <c r="F275" t="s">
        <v>30</v>
      </c>
      <c r="G275" s="1">
        <v>18.77</v>
      </c>
      <c r="I275" s="1">
        <f ca="1">IFERROR(OFFSET(Data[[#This Row],[Balance]],-1,0)+Data[[#This Row],[Actual Income]]-Data[[#This Row],[Actual Expense]], Data[[#This Row],[Actual Income]])</f>
        <v>-2579.5974999999949</v>
      </c>
      <c r="J275" s="1">
        <f>IF(Data[[#This Row],[Category]]="Savings or Investments", Data[[#This Row],[Actual Expense]],0)</f>
        <v>0</v>
      </c>
    </row>
    <row r="276" spans="1:10" x14ac:dyDescent="0.2">
      <c r="A276" s="5" t="str">
        <f>TEXT(Data[[#This Row],[Date]],"yyyy")</f>
        <v>2021</v>
      </c>
      <c r="B276" s="5" t="str">
        <f>TEXT(Data[[#This Row],[Date]],"mmm")</f>
        <v>Jun</v>
      </c>
      <c r="C276" s="3">
        <v>44349</v>
      </c>
      <c r="D276" t="s">
        <v>172</v>
      </c>
      <c r="E276" t="s">
        <v>48</v>
      </c>
      <c r="F276" t="s">
        <v>70</v>
      </c>
      <c r="G276" s="1">
        <v>100</v>
      </c>
      <c r="I276" s="1">
        <f ca="1">IFERROR(OFFSET(Data[[#This Row],[Balance]],-1,0)+Data[[#This Row],[Actual Income]]-Data[[#This Row],[Actual Expense]], Data[[#This Row],[Actual Income]])</f>
        <v>-2679.5974999999949</v>
      </c>
      <c r="J276" s="1">
        <f>IF(Data[[#This Row],[Category]]="Savings or Investments", Data[[#This Row],[Actual Expense]],0)</f>
        <v>100</v>
      </c>
    </row>
    <row r="277" spans="1:10" x14ac:dyDescent="0.2">
      <c r="A277" s="5" t="str">
        <f>TEXT(Data[[#This Row],[Date]],"yyyy")</f>
        <v>2021</v>
      </c>
      <c r="B277" s="5" t="str">
        <f>TEXT(Data[[#This Row],[Date]],"mmm")</f>
        <v>Jun</v>
      </c>
      <c r="C277" s="3">
        <v>44349</v>
      </c>
      <c r="D277" t="s">
        <v>249</v>
      </c>
      <c r="E277" t="s">
        <v>48</v>
      </c>
      <c r="F277" t="s">
        <v>130</v>
      </c>
      <c r="G277" s="1">
        <v>100</v>
      </c>
      <c r="I277" s="1">
        <f ca="1">IFERROR(OFFSET(Data[[#This Row],[Balance]],-1,0)+Data[[#This Row],[Actual Income]]-Data[[#This Row],[Actual Expense]], Data[[#This Row],[Actual Income]])</f>
        <v>-2779.5974999999949</v>
      </c>
      <c r="J277" s="1">
        <f>IF(Data[[#This Row],[Category]]="Savings or Investments", Data[[#This Row],[Actual Expense]],0)</f>
        <v>100</v>
      </c>
    </row>
    <row r="278" spans="1:10" x14ac:dyDescent="0.2">
      <c r="A278" s="5" t="str">
        <f>TEXT(Data[[#This Row],[Date]],"yyyy")</f>
        <v>2021</v>
      </c>
      <c r="B278" s="5" t="str">
        <f>TEXT(Data[[#This Row],[Date]],"mmm")</f>
        <v>Jun</v>
      </c>
      <c r="C278" s="3">
        <v>44349</v>
      </c>
      <c r="D278" t="s">
        <v>172</v>
      </c>
      <c r="E278" t="s">
        <v>48</v>
      </c>
      <c r="F278" t="s">
        <v>70</v>
      </c>
      <c r="G278" s="1">
        <v>200</v>
      </c>
      <c r="I278" s="1">
        <f ca="1">IFERROR(OFFSET(Data[[#This Row],[Balance]],-1,0)+Data[[#This Row],[Actual Income]]-Data[[#This Row],[Actual Expense]], Data[[#This Row],[Actual Income]])</f>
        <v>-2979.5974999999949</v>
      </c>
      <c r="J278" s="1">
        <f>IF(Data[[#This Row],[Category]]="Savings or Investments", Data[[#This Row],[Actual Expense]],0)</f>
        <v>200</v>
      </c>
    </row>
    <row r="279" spans="1:10" x14ac:dyDescent="0.2">
      <c r="A279" s="5" t="str">
        <f>TEXT(Data[[#This Row],[Date]],"yyyy")</f>
        <v>2021</v>
      </c>
      <c r="B279" s="5" t="str">
        <f>TEXT(Data[[#This Row],[Date]],"mmm")</f>
        <v>Jun</v>
      </c>
      <c r="C279" s="3">
        <v>44349</v>
      </c>
      <c r="D279" t="s">
        <v>114</v>
      </c>
      <c r="E279" t="s">
        <v>48</v>
      </c>
      <c r="F279" t="s">
        <v>27</v>
      </c>
      <c r="G279" s="1">
        <v>500</v>
      </c>
      <c r="I279" s="1">
        <f ca="1">IFERROR(OFFSET(Data[[#This Row],[Balance]],-1,0)+Data[[#This Row],[Actual Income]]-Data[[#This Row],[Actual Expense]], Data[[#This Row],[Actual Income]])</f>
        <v>-3479.5974999999949</v>
      </c>
      <c r="J279" s="1">
        <f>IF(Data[[#This Row],[Category]]="Savings or Investments", Data[[#This Row],[Actual Expense]],0)</f>
        <v>500</v>
      </c>
    </row>
    <row r="280" spans="1:10" x14ac:dyDescent="0.2">
      <c r="A280" s="5" t="str">
        <f>TEXT(Data[[#This Row],[Date]],"yyyy")</f>
        <v>2021</v>
      </c>
      <c r="B280" s="5" t="str">
        <f>TEXT(Data[[#This Row],[Date]],"mmm")</f>
        <v>Jun</v>
      </c>
      <c r="C280" s="3">
        <v>44349</v>
      </c>
      <c r="D280" t="s">
        <v>210</v>
      </c>
      <c r="E280" t="s">
        <v>53</v>
      </c>
      <c r="F280" t="s">
        <v>259</v>
      </c>
      <c r="G280" s="1">
        <v>32.46</v>
      </c>
      <c r="I280" s="1">
        <f ca="1">IFERROR(OFFSET(Data[[#This Row],[Balance]],-1,0)+Data[[#This Row],[Actual Income]]-Data[[#This Row],[Actual Expense]], Data[[#This Row],[Actual Income]])</f>
        <v>-3512.0574999999949</v>
      </c>
      <c r="J280" s="1">
        <f>IF(Data[[#This Row],[Category]]="Savings or Investments", Data[[#This Row],[Actual Expense]],0)</f>
        <v>0</v>
      </c>
    </row>
    <row r="281" spans="1:10" x14ac:dyDescent="0.2">
      <c r="A281" s="5" t="str">
        <f>TEXT(Data[[#This Row],[Date]],"yyyy")</f>
        <v>2021</v>
      </c>
      <c r="B281" s="5" t="str">
        <f>TEXT(Data[[#This Row],[Date]],"mmm")</f>
        <v>Jun</v>
      </c>
      <c r="C281" s="3">
        <v>44350</v>
      </c>
      <c r="D281" t="s">
        <v>261</v>
      </c>
      <c r="E281" t="s">
        <v>31</v>
      </c>
      <c r="F281" t="s">
        <v>55</v>
      </c>
      <c r="G281" s="1">
        <v>5.91</v>
      </c>
      <c r="I281" s="1">
        <f ca="1">IFERROR(OFFSET(Data[[#This Row],[Balance]],-1,0)+Data[[#This Row],[Actual Income]]-Data[[#This Row],[Actual Expense]], Data[[#This Row],[Actual Income]])</f>
        <v>-3517.9674999999947</v>
      </c>
      <c r="J281" s="1">
        <f>IF(Data[[#This Row],[Category]]="Savings or Investments", Data[[#This Row],[Actual Expense]],0)</f>
        <v>0</v>
      </c>
    </row>
    <row r="282" spans="1:10" x14ac:dyDescent="0.2">
      <c r="A282" s="5" t="str">
        <f>TEXT(Data[[#This Row],[Date]],"yyyy")</f>
        <v>2021</v>
      </c>
      <c r="B282" s="5" t="str">
        <f>TEXT(Data[[#This Row],[Date]],"mmm")</f>
        <v>Jun</v>
      </c>
      <c r="C282" s="3">
        <v>44350</v>
      </c>
      <c r="D282" t="s">
        <v>186</v>
      </c>
      <c r="E282" t="s">
        <v>31</v>
      </c>
      <c r="F282" t="s">
        <v>30</v>
      </c>
      <c r="G282" s="1">
        <v>6.48</v>
      </c>
      <c r="I282" s="1">
        <f ca="1">IFERROR(OFFSET(Data[[#This Row],[Balance]],-1,0)+Data[[#This Row],[Actual Income]]-Data[[#This Row],[Actual Expense]], Data[[#This Row],[Actual Income]])</f>
        <v>-3524.4474999999948</v>
      </c>
      <c r="J282" s="1">
        <f>IF(Data[[#This Row],[Category]]="Savings or Investments", Data[[#This Row],[Actual Expense]],0)</f>
        <v>0</v>
      </c>
    </row>
    <row r="283" spans="1:10" x14ac:dyDescent="0.2">
      <c r="A283" s="5" t="str">
        <f>TEXT(Data[[#This Row],[Date]],"yyyy")</f>
        <v>2021</v>
      </c>
      <c r="B283" s="5" t="str">
        <f>TEXT(Data[[#This Row],[Date]],"mmm")</f>
        <v>Jun</v>
      </c>
      <c r="C283" s="3">
        <v>44350</v>
      </c>
      <c r="D283" t="s">
        <v>248</v>
      </c>
      <c r="E283" t="s">
        <v>31</v>
      </c>
      <c r="F283" t="s">
        <v>30</v>
      </c>
      <c r="G283" s="1">
        <v>25.04</v>
      </c>
      <c r="I283" s="1">
        <f ca="1">IFERROR(OFFSET(Data[[#This Row],[Balance]],-1,0)+Data[[#This Row],[Actual Income]]-Data[[#This Row],[Actual Expense]], Data[[#This Row],[Actual Income]])</f>
        <v>-3549.4874999999947</v>
      </c>
      <c r="J283" s="1">
        <f>IF(Data[[#This Row],[Category]]="Savings or Investments", Data[[#This Row],[Actual Expense]],0)</f>
        <v>0</v>
      </c>
    </row>
    <row r="284" spans="1:10" x14ac:dyDescent="0.2">
      <c r="A284" s="5" t="str">
        <f>TEXT(Data[[#This Row],[Date]],"yyyy")</f>
        <v>2021</v>
      </c>
      <c r="B284" s="5" t="str">
        <f>TEXT(Data[[#This Row],[Date]],"mmm")</f>
        <v>Jun</v>
      </c>
      <c r="C284" s="3">
        <v>44351</v>
      </c>
      <c r="D284" t="s">
        <v>99</v>
      </c>
      <c r="E284" t="s">
        <v>31</v>
      </c>
      <c r="F284" t="s">
        <v>29</v>
      </c>
      <c r="G284" s="1">
        <v>17.13</v>
      </c>
      <c r="I284" s="1">
        <f ca="1">IFERROR(OFFSET(Data[[#This Row],[Balance]],-1,0)+Data[[#This Row],[Actual Income]]-Data[[#This Row],[Actual Expense]], Data[[#This Row],[Actual Income]])</f>
        <v>-3566.6174999999948</v>
      </c>
      <c r="J284" s="1">
        <f>IF(Data[[#This Row],[Category]]="Savings or Investments", Data[[#This Row],[Actual Expense]],0)</f>
        <v>0</v>
      </c>
    </row>
    <row r="285" spans="1:10" x14ac:dyDescent="0.2">
      <c r="A285" s="5" t="str">
        <f>TEXT(Data[[#This Row],[Date]],"yyyy")</f>
        <v>2021</v>
      </c>
      <c r="B285" s="5" t="str">
        <f>TEXT(Data[[#This Row],[Date]],"mmm")</f>
        <v>Jun</v>
      </c>
      <c r="C285" s="3">
        <v>44351</v>
      </c>
      <c r="D285" t="s">
        <v>164</v>
      </c>
      <c r="E285" t="s">
        <v>44</v>
      </c>
      <c r="F285" t="s">
        <v>19</v>
      </c>
      <c r="G285" s="1">
        <v>32.380000000000003</v>
      </c>
      <c r="I285" s="1">
        <f ca="1">IFERROR(OFFSET(Data[[#This Row],[Balance]],-1,0)+Data[[#This Row],[Actual Income]]-Data[[#This Row],[Actual Expense]], Data[[#This Row],[Actual Income]])</f>
        <v>-3598.9974999999949</v>
      </c>
      <c r="J285" s="1">
        <f>IF(Data[[#This Row],[Category]]="Savings or Investments", Data[[#This Row],[Actual Expense]],0)</f>
        <v>0</v>
      </c>
    </row>
    <row r="286" spans="1:10" x14ac:dyDescent="0.2">
      <c r="A286" s="5" t="str">
        <f>TEXT(Data[[#This Row],[Date]],"yyyy")</f>
        <v>2021</v>
      </c>
      <c r="B286" s="5" t="str">
        <f>TEXT(Data[[#This Row],[Date]],"mmm")</f>
        <v>Jun</v>
      </c>
      <c r="C286" s="3">
        <v>44351</v>
      </c>
      <c r="D286" t="s">
        <v>274</v>
      </c>
      <c r="E286" t="s">
        <v>31</v>
      </c>
      <c r="F286" t="s">
        <v>30</v>
      </c>
      <c r="G286" s="1">
        <v>67.5</v>
      </c>
      <c r="I286" s="1">
        <f ca="1">IFERROR(OFFSET(Data[[#This Row],[Balance]],-1,0)+Data[[#This Row],[Actual Income]]-Data[[#This Row],[Actual Expense]], Data[[#This Row],[Actual Income]])</f>
        <v>-3666.4974999999949</v>
      </c>
      <c r="J286" s="1">
        <f>IF(Data[[#This Row],[Category]]="Savings or Investments", Data[[#This Row],[Actual Expense]],0)</f>
        <v>0</v>
      </c>
    </row>
    <row r="287" spans="1:10" x14ac:dyDescent="0.2">
      <c r="A287" s="5" t="str">
        <f>TEXT(Data[[#This Row],[Date]],"yyyy")</f>
        <v>2021</v>
      </c>
      <c r="B287" s="5" t="str">
        <f>TEXT(Data[[#This Row],[Date]],"mmm")</f>
        <v>Jun</v>
      </c>
      <c r="C287" s="3">
        <v>44351</v>
      </c>
      <c r="D287" t="s">
        <v>83</v>
      </c>
      <c r="E287" t="s">
        <v>81</v>
      </c>
      <c r="F287" t="s">
        <v>174</v>
      </c>
      <c r="G287" s="1"/>
      <c r="H287">
        <v>1876.04</v>
      </c>
      <c r="I287" s="1">
        <f ca="1">IFERROR(OFFSET(Data[[#This Row],[Balance]],-1,0)+Data[[#This Row],[Actual Income]]-Data[[#This Row],[Actual Expense]], Data[[#This Row],[Actual Income]])</f>
        <v>-1790.457499999995</v>
      </c>
      <c r="J287" s="1">
        <f>IF(Data[[#This Row],[Category]]="Savings or Investments", Data[[#This Row],[Actual Expense]],0)</f>
        <v>0</v>
      </c>
    </row>
    <row r="288" spans="1:10" x14ac:dyDescent="0.2">
      <c r="A288" s="5" t="str">
        <f>TEXT(Data[[#This Row],[Date]],"yyyy")</f>
        <v>2021</v>
      </c>
      <c r="B288" s="5" t="str">
        <f>TEXT(Data[[#This Row],[Date]],"mmm")</f>
        <v>Jun</v>
      </c>
      <c r="C288" s="3">
        <v>44352</v>
      </c>
      <c r="D288" t="s">
        <v>273</v>
      </c>
      <c r="E288" t="s">
        <v>31</v>
      </c>
      <c r="F288" t="s">
        <v>30</v>
      </c>
      <c r="G288" s="1">
        <v>10.77</v>
      </c>
      <c r="I288" s="1">
        <f ca="1">IFERROR(OFFSET(Data[[#This Row],[Balance]],-1,0)+Data[[#This Row],[Actual Income]]-Data[[#This Row],[Actual Expense]], Data[[#This Row],[Actual Income]])</f>
        <v>-1801.227499999995</v>
      </c>
      <c r="J288" s="1">
        <f>IF(Data[[#This Row],[Category]]="Savings or Investments", Data[[#This Row],[Actual Expense]],0)</f>
        <v>0</v>
      </c>
    </row>
    <row r="289" spans="1:11" x14ac:dyDescent="0.2">
      <c r="A289" s="5" t="str">
        <f>TEXT(Data[[#This Row],[Date]],"yyyy")</f>
        <v>2021</v>
      </c>
      <c r="B289" s="5" t="str">
        <f>TEXT(Data[[#This Row],[Date]],"mmm")</f>
        <v>Jun</v>
      </c>
      <c r="C289" s="3">
        <v>44352</v>
      </c>
      <c r="D289" t="s">
        <v>271</v>
      </c>
      <c r="E289" t="s">
        <v>31</v>
      </c>
      <c r="F289" t="s">
        <v>30</v>
      </c>
      <c r="G289" s="1">
        <v>10.68</v>
      </c>
      <c r="I289" s="1">
        <f ca="1">IFERROR(OFFSET(Data[[#This Row],[Balance]],-1,0)+Data[[#This Row],[Actual Income]]-Data[[#This Row],[Actual Expense]], Data[[#This Row],[Actual Income]])</f>
        <v>-1811.907499999995</v>
      </c>
      <c r="J289" s="1">
        <f>IF(Data[[#This Row],[Category]]="Savings or Investments", Data[[#This Row],[Actual Expense]],0)</f>
        <v>0</v>
      </c>
    </row>
    <row r="290" spans="1:11" x14ac:dyDescent="0.2">
      <c r="A290" s="5" t="str">
        <f>TEXT(Data[[#This Row],[Date]],"yyyy")</f>
        <v>2021</v>
      </c>
      <c r="B290" s="5" t="str">
        <f>TEXT(Data[[#This Row],[Date]],"mmm")</f>
        <v>Jun</v>
      </c>
      <c r="C290" s="3">
        <v>44352</v>
      </c>
      <c r="D290" t="s">
        <v>272</v>
      </c>
      <c r="E290" t="s">
        <v>31</v>
      </c>
      <c r="F290" t="s">
        <v>55</v>
      </c>
      <c r="G290" s="1">
        <v>19.03</v>
      </c>
      <c r="I290" s="1">
        <f ca="1">IFERROR(OFFSET(Data[[#This Row],[Balance]],-1,0)+Data[[#This Row],[Actual Income]]-Data[[#This Row],[Actual Expense]], Data[[#This Row],[Actual Income]])</f>
        <v>-1830.937499999995</v>
      </c>
      <c r="J290" s="1">
        <f>IF(Data[[#This Row],[Category]]="Savings or Investments", Data[[#This Row],[Actual Expense]],0)</f>
        <v>0</v>
      </c>
    </row>
    <row r="291" spans="1:11" x14ac:dyDescent="0.2">
      <c r="A291" s="5" t="str">
        <f>TEXT(Data[[#This Row],[Date]],"yyyy")</f>
        <v>2021</v>
      </c>
      <c r="B291" s="5" t="str">
        <f>TEXT(Data[[#This Row],[Date]],"mmm")</f>
        <v>Jun</v>
      </c>
      <c r="C291" s="3">
        <v>44353</v>
      </c>
      <c r="D291" t="s">
        <v>268</v>
      </c>
      <c r="E291" t="s">
        <v>31</v>
      </c>
      <c r="F291" t="s">
        <v>29</v>
      </c>
      <c r="G291" s="1">
        <v>4.99</v>
      </c>
      <c r="I291" s="1">
        <f ca="1">IFERROR(OFFSET(Data[[#This Row],[Balance]],-1,0)+Data[[#This Row],[Actual Income]]-Data[[#This Row],[Actual Expense]], Data[[#This Row],[Actual Income]])</f>
        <v>-1835.927499999995</v>
      </c>
      <c r="J291" s="1">
        <f>IF(Data[[#This Row],[Category]]="Savings or Investments", Data[[#This Row],[Actual Expense]],0)</f>
        <v>0</v>
      </c>
    </row>
    <row r="292" spans="1:11" x14ac:dyDescent="0.2">
      <c r="A292" s="5" t="str">
        <f>TEXT(Data[[#This Row],[Date]],"yyyy")</f>
        <v>2021</v>
      </c>
      <c r="B292" s="5" t="str">
        <f>TEXT(Data[[#This Row],[Date]],"mmm")</f>
        <v>Jun</v>
      </c>
      <c r="C292" s="3">
        <v>44353</v>
      </c>
      <c r="D292" t="s">
        <v>269</v>
      </c>
      <c r="E292" t="s">
        <v>49</v>
      </c>
      <c r="F292" t="s">
        <v>154</v>
      </c>
      <c r="G292" s="1">
        <v>27.06</v>
      </c>
      <c r="I292" s="1">
        <f ca="1">IFERROR(OFFSET(Data[[#This Row],[Balance]],-1,0)+Data[[#This Row],[Actual Income]]-Data[[#This Row],[Actual Expense]], Data[[#This Row],[Actual Income]])</f>
        <v>-1862.987499999995</v>
      </c>
      <c r="J292" s="1">
        <f>IF(Data[[#This Row],[Category]]="Savings or Investments", Data[[#This Row],[Actual Expense]],0)</f>
        <v>0</v>
      </c>
    </row>
    <row r="293" spans="1:11" x14ac:dyDescent="0.2">
      <c r="A293" s="5" t="str">
        <f>TEXT(Data[[#This Row],[Date]],"yyyy")</f>
        <v>2021</v>
      </c>
      <c r="B293" s="5" t="str">
        <f>TEXT(Data[[#This Row],[Date]],"mmm")</f>
        <v>Jun</v>
      </c>
      <c r="C293" s="3">
        <v>44353</v>
      </c>
      <c r="D293" t="s">
        <v>267</v>
      </c>
      <c r="E293" t="s">
        <v>49</v>
      </c>
      <c r="F293" t="s">
        <v>155</v>
      </c>
      <c r="G293" s="1">
        <v>42.76</v>
      </c>
      <c r="I293" s="1">
        <f ca="1">IFERROR(OFFSET(Data[[#This Row],[Balance]],-1,0)+Data[[#This Row],[Actual Income]]-Data[[#This Row],[Actual Expense]], Data[[#This Row],[Actual Income]])</f>
        <v>-1905.7474999999949</v>
      </c>
      <c r="J293" s="1">
        <f>IF(Data[[#This Row],[Category]]="Savings or Investments", Data[[#This Row],[Actual Expense]],0)</f>
        <v>0</v>
      </c>
    </row>
    <row r="294" spans="1:11" x14ac:dyDescent="0.2">
      <c r="A294" s="5" t="str">
        <f>TEXT(Data[[#This Row],[Date]],"yyyy")</f>
        <v>2021</v>
      </c>
      <c r="B294" s="5" t="str">
        <f>TEXT(Data[[#This Row],[Date]],"mmm")</f>
        <v>Jun</v>
      </c>
      <c r="C294" s="3">
        <v>44354</v>
      </c>
      <c r="D294" t="s">
        <v>199</v>
      </c>
      <c r="E294" t="s">
        <v>51</v>
      </c>
      <c r="F294" t="s">
        <v>163</v>
      </c>
      <c r="G294" s="1">
        <v>260</v>
      </c>
      <c r="I294" s="1">
        <f ca="1">IFERROR(OFFSET(Data[[#This Row],[Balance]],-1,0)+Data[[#This Row],[Actual Income]]-Data[[#This Row],[Actual Expense]], Data[[#This Row],[Actual Income]])</f>
        <v>-2165.7474999999949</v>
      </c>
      <c r="J294" s="1">
        <f>IF(Data[[#This Row],[Category]]="Savings or Investments", Data[[#This Row],[Actual Expense]],0)</f>
        <v>0</v>
      </c>
    </row>
    <row r="295" spans="1:11" x14ac:dyDescent="0.2">
      <c r="A295" s="5" t="str">
        <f>TEXT(Data[[#This Row],[Date]],"yyyy")</f>
        <v>2021</v>
      </c>
      <c r="B295" s="5" t="str">
        <f>TEXT(Data[[#This Row],[Date]],"mmm")</f>
        <v>Jun</v>
      </c>
      <c r="C295" s="3">
        <v>44354</v>
      </c>
      <c r="D295" t="s">
        <v>276</v>
      </c>
      <c r="E295" t="s">
        <v>44</v>
      </c>
      <c r="F295" t="s">
        <v>15</v>
      </c>
      <c r="G295" s="1">
        <v>419.69</v>
      </c>
      <c r="I295" s="1">
        <f ca="1">IFERROR(OFFSET(Data[[#This Row],[Balance]],-1,0)+Data[[#This Row],[Actual Income]]-Data[[#This Row],[Actual Expense]], Data[[#This Row],[Actual Income]])</f>
        <v>-2585.437499999995</v>
      </c>
      <c r="J295" s="1">
        <f>IF(Data[[#This Row],[Category]]="Savings or Investments", Data[[#This Row],[Actual Expense]],0)</f>
        <v>0</v>
      </c>
    </row>
    <row r="296" spans="1:11" x14ac:dyDescent="0.2">
      <c r="A296" s="5" t="str">
        <f>TEXT(Data[[#This Row],[Date]],"yyyy")</f>
        <v>2021</v>
      </c>
      <c r="B296" s="5" t="str">
        <f>TEXT(Data[[#This Row],[Date]],"mmm")</f>
        <v>Jun</v>
      </c>
      <c r="C296" s="3">
        <v>44355</v>
      </c>
      <c r="D296" t="s">
        <v>172</v>
      </c>
      <c r="E296" t="s">
        <v>48</v>
      </c>
      <c r="F296" t="s">
        <v>70</v>
      </c>
      <c r="G296" s="1">
        <v>100</v>
      </c>
      <c r="I296" s="1">
        <f ca="1">IFERROR(OFFSET(Data[[#This Row],[Balance]],-1,0)+Data[[#This Row],[Actual Income]]-Data[[#This Row],[Actual Expense]], Data[[#This Row],[Actual Income]])</f>
        <v>-2685.437499999995</v>
      </c>
      <c r="J296" s="1">
        <f>IF(Data[[#This Row],[Category]]="Savings or Investments", Data[[#This Row],[Actual Expense]],0)</f>
        <v>100</v>
      </c>
    </row>
    <row r="297" spans="1:11" x14ac:dyDescent="0.2">
      <c r="A297" s="5" t="str">
        <f>TEXT(Data[[#This Row],[Date]],"yyyy")</f>
        <v>2021</v>
      </c>
      <c r="B297" s="5" t="str">
        <f>TEXT(Data[[#This Row],[Date]],"mmm")</f>
        <v>Jun</v>
      </c>
      <c r="C297" s="3">
        <v>44355</v>
      </c>
      <c r="D297" t="s">
        <v>172</v>
      </c>
      <c r="E297" t="s">
        <v>48</v>
      </c>
      <c r="F297" t="s">
        <v>70</v>
      </c>
      <c r="G297" s="1">
        <v>100</v>
      </c>
      <c r="I297" s="1">
        <f ca="1">IFERROR(OFFSET(Data[[#This Row],[Balance]],-1,0)+Data[[#This Row],[Actual Income]]-Data[[#This Row],[Actual Expense]], Data[[#This Row],[Actual Income]])</f>
        <v>-2785.437499999995</v>
      </c>
      <c r="J297" s="1">
        <f>IF(Data[[#This Row],[Category]]="Savings or Investments", Data[[#This Row],[Actual Expense]],0)</f>
        <v>100</v>
      </c>
    </row>
    <row r="298" spans="1:11" x14ac:dyDescent="0.2">
      <c r="A298" s="5" t="str">
        <f>TEXT(Data[[#This Row],[Date]],"yyyy")</f>
        <v>2021</v>
      </c>
      <c r="B298" s="5" t="str">
        <f>TEXT(Data[[#This Row],[Date]],"mmm")</f>
        <v>Jun</v>
      </c>
      <c r="C298" s="3">
        <v>44355</v>
      </c>
      <c r="D298" t="s">
        <v>260</v>
      </c>
      <c r="E298" t="s">
        <v>31</v>
      </c>
      <c r="F298" t="s">
        <v>30</v>
      </c>
      <c r="G298" s="1">
        <v>14.32</v>
      </c>
      <c r="I298" s="1">
        <f ca="1">IFERROR(OFFSET(Data[[#This Row],[Balance]],-1,0)+Data[[#This Row],[Actual Income]]-Data[[#This Row],[Actual Expense]], Data[[#This Row],[Actual Income]])</f>
        <v>-2799.7574999999952</v>
      </c>
      <c r="J298" s="1">
        <f>IF(Data[[#This Row],[Category]]="Savings or Investments", Data[[#This Row],[Actual Expense]],0)</f>
        <v>0</v>
      </c>
    </row>
    <row r="299" spans="1:11" x14ac:dyDescent="0.2">
      <c r="A299" s="5" t="str">
        <f>TEXT(Data[[#This Row],[Date]],"yyyy")</f>
        <v>2021</v>
      </c>
      <c r="B299" s="5" t="str">
        <f>TEXT(Data[[#This Row],[Date]],"mmm")</f>
        <v>Jun</v>
      </c>
      <c r="C299" s="3">
        <v>44355</v>
      </c>
      <c r="D299" t="s">
        <v>266</v>
      </c>
      <c r="E299" t="s">
        <v>31</v>
      </c>
      <c r="F299" t="s">
        <v>55</v>
      </c>
      <c r="G299" s="1">
        <v>17.47</v>
      </c>
      <c r="I299" s="1">
        <f ca="1">IFERROR(OFFSET(Data[[#This Row],[Balance]],-1,0)+Data[[#This Row],[Actual Income]]-Data[[#This Row],[Actual Expense]], Data[[#This Row],[Actual Income]])</f>
        <v>-2817.227499999995</v>
      </c>
      <c r="J299" s="1">
        <f>IF(Data[[#This Row],[Category]]="Savings or Investments", Data[[#This Row],[Actual Expense]],0)</f>
        <v>0</v>
      </c>
    </row>
    <row r="300" spans="1:11" x14ac:dyDescent="0.2">
      <c r="A300" s="5" t="str">
        <f>TEXT(Data[[#This Row],[Date]],"yyyy")</f>
        <v>2021</v>
      </c>
      <c r="B300" s="5" t="str">
        <f>TEXT(Data[[#This Row],[Date]],"mmm")</f>
        <v>Jun</v>
      </c>
      <c r="C300" s="3">
        <v>44356</v>
      </c>
      <c r="D300" t="s">
        <v>172</v>
      </c>
      <c r="E300" t="s">
        <v>48</v>
      </c>
      <c r="F300" t="s">
        <v>70</v>
      </c>
      <c r="G300" s="1">
        <v>200</v>
      </c>
      <c r="I300" s="1">
        <f ca="1">IFERROR(OFFSET(Data[[#This Row],[Balance]],-1,0)+Data[[#This Row],[Actual Income]]-Data[[#This Row],[Actual Expense]], Data[[#This Row],[Actual Income]])</f>
        <v>-3017.227499999995</v>
      </c>
      <c r="J300" s="1">
        <f>IF(Data[[#This Row],[Category]]="Savings or Investments", Data[[#This Row],[Actual Expense]],0)</f>
        <v>200</v>
      </c>
    </row>
    <row r="301" spans="1:11" x14ac:dyDescent="0.2">
      <c r="A301" s="5" t="str">
        <f>TEXT(Data[[#This Row],[Date]],"yyyy")</f>
        <v>2021</v>
      </c>
      <c r="B301" s="5" t="str">
        <f>TEXT(Data[[#This Row],[Date]],"mmm")</f>
        <v>Jun</v>
      </c>
      <c r="C301" s="3">
        <v>44356</v>
      </c>
      <c r="D301" t="s">
        <v>261</v>
      </c>
      <c r="E301" t="s">
        <v>31</v>
      </c>
      <c r="F301" t="s">
        <v>55</v>
      </c>
      <c r="G301" s="1">
        <v>16.920000000000002</v>
      </c>
      <c r="I301" s="1">
        <f ca="1">IFERROR(OFFSET(Data[[#This Row],[Balance]],-1,0)+Data[[#This Row],[Actual Income]]-Data[[#This Row],[Actual Expense]], Data[[#This Row],[Actual Income]])</f>
        <v>-3034.147499999995</v>
      </c>
      <c r="J301" s="1">
        <f>IF(Data[[#This Row],[Category]]="Savings or Investments", Data[[#This Row],[Actual Expense]],0)</f>
        <v>0</v>
      </c>
    </row>
    <row r="302" spans="1:11" x14ac:dyDescent="0.2">
      <c r="A302" s="5" t="str">
        <f>TEXT(Data[[#This Row],[Date]],"yyyy")</f>
        <v>2021</v>
      </c>
      <c r="B302" s="5" t="str">
        <f>TEXT(Data[[#This Row],[Date]],"mmm")</f>
        <v>Jun</v>
      </c>
      <c r="C302" s="3">
        <v>44356</v>
      </c>
      <c r="D302" t="s">
        <v>287</v>
      </c>
      <c r="E302" t="s">
        <v>43</v>
      </c>
      <c r="F302" t="s">
        <v>288</v>
      </c>
      <c r="G302" s="1">
        <v>108.81</v>
      </c>
      <c r="I302" s="1">
        <f ca="1">IFERROR(OFFSET(Data[[#This Row],[Balance]],-1,0)+Data[[#This Row],[Actual Income]]-Data[[#This Row],[Actual Expense]], Data[[#This Row],[Actual Income]])</f>
        <v>-3142.957499999995</v>
      </c>
      <c r="J302" s="1">
        <f>IF(Data[[#This Row],[Category]]="Savings or Investments", Data[[#This Row],[Actual Expense]],0)</f>
        <v>0</v>
      </c>
      <c r="K302" t="s">
        <v>286</v>
      </c>
    </row>
    <row r="303" spans="1:11" x14ac:dyDescent="0.2">
      <c r="A303" s="5" t="str">
        <f>TEXT(Data[[#This Row],[Date]],"yyyy")</f>
        <v>2021</v>
      </c>
      <c r="B303" s="5" t="str">
        <f>TEXT(Data[[#This Row],[Date]],"mmm")</f>
        <v>Jun</v>
      </c>
      <c r="C303" s="3">
        <v>44356</v>
      </c>
      <c r="D303" t="s">
        <v>275</v>
      </c>
      <c r="E303" t="s">
        <v>81</v>
      </c>
      <c r="F303" t="s">
        <v>175</v>
      </c>
      <c r="G303" s="1"/>
      <c r="H303">
        <v>13.96</v>
      </c>
      <c r="I303" s="1">
        <f ca="1">IFERROR(OFFSET(Data[[#This Row],[Balance]],-1,0)+Data[[#This Row],[Actual Income]]-Data[[#This Row],[Actual Expense]], Data[[#This Row],[Actual Income]])</f>
        <v>-3128.9974999999949</v>
      </c>
      <c r="J303" s="1">
        <f>IF(Data[[#This Row],[Category]]="Savings or Investments", Data[[#This Row],[Actual Expense]],0)</f>
        <v>0</v>
      </c>
    </row>
    <row r="304" spans="1:11" x14ac:dyDescent="0.2">
      <c r="A304" s="5" t="str">
        <f>TEXT(Data[[#This Row],[Date]],"yyyy")</f>
        <v>2021</v>
      </c>
      <c r="B304" s="5" t="str">
        <f>TEXT(Data[[#This Row],[Date]],"mmm")</f>
        <v>Jun</v>
      </c>
      <c r="C304" s="3">
        <v>44357</v>
      </c>
      <c r="D304" t="s">
        <v>279</v>
      </c>
      <c r="E304" t="s">
        <v>31</v>
      </c>
      <c r="F304" t="s">
        <v>55</v>
      </c>
      <c r="G304" s="1">
        <v>-5.74</v>
      </c>
      <c r="I304" s="1">
        <f ca="1">IFERROR(OFFSET(Data[[#This Row],[Balance]],-1,0)+Data[[#This Row],[Actual Income]]-Data[[#This Row],[Actual Expense]], Data[[#This Row],[Actual Income]])</f>
        <v>-3123.2574999999952</v>
      </c>
      <c r="J304" s="1">
        <f>IF(Data[[#This Row],[Category]]="Savings or Investments", Data[[#This Row],[Actual Expense]],0)</f>
        <v>0</v>
      </c>
    </row>
    <row r="305" spans="1:10" x14ac:dyDescent="0.2">
      <c r="A305" s="5" t="str">
        <f>TEXT(Data[[#This Row],[Date]],"yyyy")</f>
        <v>2021</v>
      </c>
      <c r="B305" s="5" t="str">
        <f>TEXT(Data[[#This Row],[Date]],"mmm")</f>
        <v>Jun</v>
      </c>
      <c r="C305" s="3">
        <v>44357</v>
      </c>
      <c r="D305" t="s">
        <v>261</v>
      </c>
      <c r="E305" t="s">
        <v>31</v>
      </c>
      <c r="F305" t="s">
        <v>55</v>
      </c>
      <c r="G305" s="1">
        <v>11.49</v>
      </c>
      <c r="I305" s="1">
        <f ca="1">IFERROR(OFFSET(Data[[#This Row],[Balance]],-1,0)+Data[[#This Row],[Actual Income]]-Data[[#This Row],[Actual Expense]], Data[[#This Row],[Actual Income]])</f>
        <v>-3134.7474999999949</v>
      </c>
      <c r="J305" s="1">
        <f>IF(Data[[#This Row],[Category]]="Savings or Investments", Data[[#This Row],[Actual Expense]],0)</f>
        <v>0</v>
      </c>
    </row>
    <row r="306" spans="1:10" x14ac:dyDescent="0.2">
      <c r="A306" s="5" t="str">
        <f>TEXT(Data[[#This Row],[Date]],"yyyy")</f>
        <v>2021</v>
      </c>
      <c r="B306" s="5" t="str">
        <f>TEXT(Data[[#This Row],[Date]],"mmm")</f>
        <v>Jun</v>
      </c>
      <c r="C306" s="3">
        <v>44357</v>
      </c>
      <c r="D306" t="s">
        <v>260</v>
      </c>
      <c r="E306" t="s">
        <v>31</v>
      </c>
      <c r="F306" t="s">
        <v>30</v>
      </c>
      <c r="G306" s="1">
        <v>20.41</v>
      </c>
      <c r="I306" s="1">
        <f ca="1">IFERROR(OFFSET(Data[[#This Row],[Balance]],-1,0)+Data[[#This Row],[Actual Income]]-Data[[#This Row],[Actual Expense]], Data[[#This Row],[Actual Income]])</f>
        <v>-3155.1574999999948</v>
      </c>
      <c r="J306" s="1">
        <f>IF(Data[[#This Row],[Category]]="Savings or Investments", Data[[#This Row],[Actual Expense]],0)</f>
        <v>0</v>
      </c>
    </row>
    <row r="307" spans="1:10" x14ac:dyDescent="0.2">
      <c r="A307" s="5" t="str">
        <f>TEXT(Data[[#This Row],[Date]],"yyyy")</f>
        <v>2021</v>
      </c>
      <c r="B307" s="5" t="str">
        <f>TEXT(Data[[#This Row],[Date]],"mmm")</f>
        <v>Jun</v>
      </c>
      <c r="C307" s="3">
        <v>44357</v>
      </c>
      <c r="D307" t="s">
        <v>80</v>
      </c>
      <c r="E307" t="s">
        <v>53</v>
      </c>
      <c r="F307" t="s">
        <v>80</v>
      </c>
      <c r="G307" s="1">
        <v>94.44</v>
      </c>
      <c r="I307" s="1">
        <f ca="1">IFERROR(OFFSET(Data[[#This Row],[Balance]],-1,0)+Data[[#This Row],[Actual Income]]-Data[[#This Row],[Actual Expense]], Data[[#This Row],[Actual Income]])</f>
        <v>-3249.5974999999949</v>
      </c>
      <c r="J307" s="1">
        <f>IF(Data[[#This Row],[Category]]="Savings or Investments", Data[[#This Row],[Actual Expense]],0)</f>
        <v>0</v>
      </c>
    </row>
    <row r="308" spans="1:10" x14ac:dyDescent="0.2">
      <c r="A308" s="5" t="str">
        <f>TEXT(Data[[#This Row],[Date]],"yyyy")</f>
        <v>2021</v>
      </c>
      <c r="B308" s="5" t="str">
        <f>TEXT(Data[[#This Row],[Date]],"mmm")</f>
        <v>Jun</v>
      </c>
      <c r="C308" s="3">
        <v>44358</v>
      </c>
      <c r="D308" t="s">
        <v>271</v>
      </c>
      <c r="E308" t="s">
        <v>31</v>
      </c>
      <c r="F308" t="s">
        <v>30</v>
      </c>
      <c r="G308" s="1">
        <v>13.69</v>
      </c>
      <c r="I308" s="1">
        <f ca="1">IFERROR(OFFSET(Data[[#This Row],[Balance]],-1,0)+Data[[#This Row],[Actual Income]]-Data[[#This Row],[Actual Expense]], Data[[#This Row],[Actual Income]])</f>
        <v>-3263.2874999999949</v>
      </c>
      <c r="J308" s="1">
        <f>IF(Data[[#This Row],[Category]]="Savings or Investments", Data[[#This Row],[Actual Expense]],0)</f>
        <v>0</v>
      </c>
    </row>
    <row r="309" spans="1:10" x14ac:dyDescent="0.2">
      <c r="A309" s="5" t="str">
        <f>TEXT(Data[[#This Row],[Date]],"yyyy")</f>
        <v>2021</v>
      </c>
      <c r="B309" s="5" t="str">
        <f>TEXT(Data[[#This Row],[Date]],"mmm")</f>
        <v>Jun</v>
      </c>
      <c r="C309" s="3">
        <v>44358</v>
      </c>
      <c r="D309" t="s">
        <v>262</v>
      </c>
      <c r="E309" t="s">
        <v>31</v>
      </c>
      <c r="F309" t="s">
        <v>55</v>
      </c>
      <c r="G309" s="1">
        <v>16.079999999999998</v>
      </c>
      <c r="I309" s="1">
        <f ca="1">IFERROR(OFFSET(Data[[#This Row],[Balance]],-1,0)+Data[[#This Row],[Actual Income]]-Data[[#This Row],[Actual Expense]], Data[[#This Row],[Actual Income]])</f>
        <v>-3279.3674999999948</v>
      </c>
      <c r="J309" s="1">
        <f>IF(Data[[#This Row],[Category]]="Savings or Investments", Data[[#This Row],[Actual Expense]],0)</f>
        <v>0</v>
      </c>
    </row>
    <row r="310" spans="1:10" x14ac:dyDescent="0.2">
      <c r="A310" s="5" t="str">
        <f>TEXT(Data[[#This Row],[Date]],"yyyy")</f>
        <v>2021</v>
      </c>
      <c r="B310" s="5" t="str">
        <f>TEXT(Data[[#This Row],[Date]],"mmm")</f>
        <v>Jun</v>
      </c>
      <c r="C310" s="3">
        <v>44358</v>
      </c>
      <c r="D310" t="s">
        <v>170</v>
      </c>
      <c r="E310" t="s">
        <v>44</v>
      </c>
      <c r="F310" t="s">
        <v>19</v>
      </c>
      <c r="G310" s="1">
        <v>33.44</v>
      </c>
      <c r="I310" s="1">
        <f ca="1">IFERROR(OFFSET(Data[[#This Row],[Balance]],-1,0)+Data[[#This Row],[Actual Income]]-Data[[#This Row],[Actual Expense]], Data[[#This Row],[Actual Income]])</f>
        <v>-3312.8074999999949</v>
      </c>
      <c r="J310" s="1">
        <f>IF(Data[[#This Row],[Category]]="Savings or Investments", Data[[#This Row],[Actual Expense]],0)</f>
        <v>0</v>
      </c>
    </row>
    <row r="311" spans="1:10" x14ac:dyDescent="0.2">
      <c r="A311" s="5" t="str">
        <f>TEXT(Data[[#This Row],[Date]],"yyyy")</f>
        <v>2021</v>
      </c>
      <c r="B311" s="5" t="str">
        <f>TEXT(Data[[#This Row],[Date]],"mmm")</f>
        <v>Jun</v>
      </c>
      <c r="C311" s="3">
        <v>44360</v>
      </c>
      <c r="D311" t="s">
        <v>261</v>
      </c>
      <c r="E311" t="s">
        <v>31</v>
      </c>
      <c r="F311" t="s">
        <v>55</v>
      </c>
      <c r="G311" s="1">
        <v>4.87</v>
      </c>
      <c r="I311" s="1">
        <f ca="1">IFERROR(OFFSET(Data[[#This Row],[Balance]],-1,0)+Data[[#This Row],[Actual Income]]-Data[[#This Row],[Actual Expense]], Data[[#This Row],[Actual Income]])</f>
        <v>-3317.6774999999948</v>
      </c>
      <c r="J311" s="1">
        <f>IF(Data[[#This Row],[Category]]="Savings or Investments", Data[[#This Row],[Actual Expense]],0)</f>
        <v>0</v>
      </c>
    </row>
    <row r="312" spans="1:10" x14ac:dyDescent="0.2">
      <c r="A312" s="5" t="str">
        <f>TEXT(Data[[#This Row],[Date]],"yyyy")</f>
        <v>2021</v>
      </c>
      <c r="B312" s="5" t="str">
        <f>TEXT(Data[[#This Row],[Date]],"mmm")</f>
        <v>Jun</v>
      </c>
      <c r="C312" s="3">
        <v>44360</v>
      </c>
      <c r="D312" t="s">
        <v>289</v>
      </c>
      <c r="E312" t="s">
        <v>31</v>
      </c>
      <c r="F312" t="s">
        <v>30</v>
      </c>
      <c r="G312" s="1">
        <v>46.97</v>
      </c>
      <c r="I312" s="1">
        <f ca="1">IFERROR(OFFSET(Data[[#This Row],[Balance]],-1,0)+Data[[#This Row],[Actual Income]]-Data[[#This Row],[Actual Expense]], Data[[#This Row],[Actual Income]])</f>
        <v>-3364.6474999999946</v>
      </c>
      <c r="J312" s="1">
        <f>IF(Data[[#This Row],[Category]]="Savings or Investments", Data[[#This Row],[Actual Expense]],0)</f>
        <v>0</v>
      </c>
    </row>
    <row r="313" spans="1:10" x14ac:dyDescent="0.2">
      <c r="A313" s="5" t="str">
        <f>TEXT(Data[[#This Row],[Date]],"yyyy")</f>
        <v>2021</v>
      </c>
      <c r="B313" s="5" t="str">
        <f>TEXT(Data[[#This Row],[Date]],"mmm")</f>
        <v>Jun</v>
      </c>
      <c r="C313" s="3">
        <v>44360</v>
      </c>
      <c r="D313" t="s">
        <v>280</v>
      </c>
      <c r="E313" t="s">
        <v>81</v>
      </c>
      <c r="F313" t="s">
        <v>175</v>
      </c>
      <c r="G313" s="1"/>
      <c r="H313">
        <v>985.1</v>
      </c>
      <c r="I313" s="1">
        <f ca="1">IFERROR(OFFSET(Data[[#This Row],[Balance]],-1,0)+Data[[#This Row],[Actual Income]]-Data[[#This Row],[Actual Expense]], Data[[#This Row],[Actual Income]])</f>
        <v>-2379.5474999999947</v>
      </c>
      <c r="J313" s="1">
        <f>IF(Data[[#This Row],[Category]]="Savings or Investments", Data[[#This Row],[Actual Expense]],0)</f>
        <v>0</v>
      </c>
    </row>
    <row r="314" spans="1:10" x14ac:dyDescent="0.2">
      <c r="A314" s="5" t="str">
        <f>TEXT(Data[[#This Row],[Date]],"yyyy")</f>
        <v>2021</v>
      </c>
      <c r="B314" s="5" t="str">
        <f>TEXT(Data[[#This Row],[Date]],"mmm")</f>
        <v>Jun</v>
      </c>
      <c r="C314" s="3">
        <v>44361</v>
      </c>
      <c r="D314" t="s">
        <v>270</v>
      </c>
      <c r="E314" t="s">
        <v>49</v>
      </c>
      <c r="F314" t="s">
        <v>154</v>
      </c>
      <c r="G314" s="1">
        <v>4.28</v>
      </c>
      <c r="I314" s="1">
        <f ca="1">IFERROR(OFFSET(Data[[#This Row],[Balance]],-1,0)+Data[[#This Row],[Actual Income]]-Data[[#This Row],[Actual Expense]], Data[[#This Row],[Actual Income]])</f>
        <v>-2383.8274999999949</v>
      </c>
      <c r="J314" s="1">
        <f>IF(Data[[#This Row],[Category]]="Savings or Investments", Data[[#This Row],[Actual Expense]],0)</f>
        <v>0</v>
      </c>
    </row>
    <row r="315" spans="1:10" x14ac:dyDescent="0.2">
      <c r="A315" s="5" t="str">
        <f>TEXT(Data[[#This Row],[Date]],"yyyy")</f>
        <v>2021</v>
      </c>
      <c r="B315" s="5" t="str">
        <f>TEXT(Data[[#This Row],[Date]],"mmm")</f>
        <v>Jun</v>
      </c>
      <c r="C315" s="3">
        <v>44361</v>
      </c>
      <c r="D315" t="s">
        <v>261</v>
      </c>
      <c r="E315" t="s">
        <v>31</v>
      </c>
      <c r="F315" t="s">
        <v>55</v>
      </c>
      <c r="G315" s="1">
        <v>10.86</v>
      </c>
      <c r="I315" s="1">
        <f ca="1">IFERROR(OFFSET(Data[[#This Row],[Balance]],-1,0)+Data[[#This Row],[Actual Income]]-Data[[#This Row],[Actual Expense]], Data[[#This Row],[Actual Income]])</f>
        <v>-2394.687499999995</v>
      </c>
      <c r="J315" s="1">
        <f>IF(Data[[#This Row],[Category]]="Savings or Investments", Data[[#This Row],[Actual Expense]],0)</f>
        <v>0</v>
      </c>
    </row>
    <row r="316" spans="1:10" x14ac:dyDescent="0.2">
      <c r="A316" s="5" t="str">
        <f>TEXT(Data[[#This Row],[Date]],"yyyy")</f>
        <v>2021</v>
      </c>
      <c r="B316" s="5" t="str">
        <f>TEXT(Data[[#This Row],[Date]],"mmm")</f>
        <v>Jun</v>
      </c>
      <c r="C316" s="3">
        <v>44361</v>
      </c>
      <c r="D316" t="s">
        <v>279</v>
      </c>
      <c r="E316" t="s">
        <v>31</v>
      </c>
      <c r="F316" t="s">
        <v>55</v>
      </c>
      <c r="G316" s="1">
        <v>-4.5</v>
      </c>
      <c r="I316" s="1">
        <f ca="1">IFERROR(OFFSET(Data[[#This Row],[Balance]],-1,0)+Data[[#This Row],[Actual Income]]-Data[[#This Row],[Actual Expense]], Data[[#This Row],[Actual Income]])</f>
        <v>-2390.187499999995</v>
      </c>
      <c r="J316" s="1">
        <f>IF(Data[[#This Row],[Category]]="Savings or Investments", Data[[#This Row],[Actual Expense]],0)</f>
        <v>0</v>
      </c>
    </row>
    <row r="317" spans="1:10" x14ac:dyDescent="0.2">
      <c r="A317" s="5" t="str">
        <f>TEXT(Data[[#This Row],[Date]],"yyyy")</f>
        <v>2021</v>
      </c>
      <c r="B317" s="5" t="str">
        <f>TEXT(Data[[#This Row],[Date]],"mmm")</f>
        <v>Jun</v>
      </c>
      <c r="C317" s="3">
        <v>44361</v>
      </c>
      <c r="D317" t="s">
        <v>290</v>
      </c>
      <c r="E317" t="s">
        <v>31</v>
      </c>
      <c r="F317" t="s">
        <v>30</v>
      </c>
      <c r="G317" s="1">
        <v>18.690000000000001</v>
      </c>
      <c r="I317" s="1">
        <f ca="1">IFERROR(OFFSET(Data[[#This Row],[Balance]],-1,0)+Data[[#This Row],[Actual Income]]-Data[[#This Row],[Actual Expense]], Data[[#This Row],[Actual Income]])</f>
        <v>-2408.8774999999951</v>
      </c>
      <c r="J317" s="1">
        <f>IF(Data[[#This Row],[Category]]="Savings or Investments", Data[[#This Row],[Actual Expense]],0)</f>
        <v>0</v>
      </c>
    </row>
    <row r="318" spans="1:10" x14ac:dyDescent="0.2">
      <c r="A318" s="5" t="str">
        <f>TEXT(Data[[#This Row],[Date]],"yyyy")</f>
        <v>2021</v>
      </c>
      <c r="B318" s="5" t="str">
        <f>TEXT(Data[[#This Row],[Date]],"mmm")</f>
        <v>Jun</v>
      </c>
      <c r="C318" s="3">
        <v>44362</v>
      </c>
      <c r="D318" t="s">
        <v>172</v>
      </c>
      <c r="E318" t="s">
        <v>48</v>
      </c>
      <c r="F318" t="s">
        <v>70</v>
      </c>
      <c r="G318" s="1">
        <v>100</v>
      </c>
      <c r="I318" s="1">
        <f ca="1">IFERROR(OFFSET(Data[[#This Row],[Balance]],-1,0)+Data[[#This Row],[Actual Income]]-Data[[#This Row],[Actual Expense]], Data[[#This Row],[Actual Income]])</f>
        <v>-2508.8774999999951</v>
      </c>
      <c r="J318" s="1">
        <f>IF(Data[[#This Row],[Category]]="Savings or Investments", Data[[#This Row],[Actual Expense]],0)</f>
        <v>100</v>
      </c>
    </row>
    <row r="319" spans="1:10" x14ac:dyDescent="0.2">
      <c r="A319" s="5" t="str">
        <f>TEXT(Data[[#This Row],[Date]],"yyyy")</f>
        <v>2021</v>
      </c>
      <c r="B319" s="5" t="str">
        <f>TEXT(Data[[#This Row],[Date]],"mmm")</f>
        <v>Jun</v>
      </c>
      <c r="C319" s="3">
        <v>44362</v>
      </c>
      <c r="D319" t="s">
        <v>172</v>
      </c>
      <c r="E319" t="s">
        <v>48</v>
      </c>
      <c r="F319" t="s">
        <v>70</v>
      </c>
      <c r="G319" s="1">
        <v>100</v>
      </c>
      <c r="I319" s="1">
        <f ca="1">IFERROR(OFFSET(Data[[#This Row],[Balance]],-1,0)+Data[[#This Row],[Actual Income]]-Data[[#This Row],[Actual Expense]], Data[[#This Row],[Actual Income]])</f>
        <v>-2608.8774999999951</v>
      </c>
      <c r="J319" s="1">
        <f>IF(Data[[#This Row],[Category]]="Savings or Investments", Data[[#This Row],[Actual Expense]],0)</f>
        <v>100</v>
      </c>
    </row>
    <row r="320" spans="1:10" x14ac:dyDescent="0.2">
      <c r="A320" s="5" t="str">
        <f>TEXT(Data[[#This Row],[Date]],"yyyy")</f>
        <v>2021</v>
      </c>
      <c r="B320" s="5" t="str">
        <f>TEXT(Data[[#This Row],[Date]],"mmm")</f>
        <v>Jun</v>
      </c>
      <c r="C320" s="3">
        <v>44363</v>
      </c>
      <c r="D320" t="s">
        <v>261</v>
      </c>
      <c r="E320" t="s">
        <v>31</v>
      </c>
      <c r="F320" t="s">
        <v>55</v>
      </c>
      <c r="G320" s="1">
        <v>6.17</v>
      </c>
      <c r="I320" s="1">
        <f ca="1">IFERROR(OFFSET(Data[[#This Row],[Balance]],-1,0)+Data[[#This Row],[Actual Income]]-Data[[#This Row],[Actual Expense]], Data[[#This Row],[Actual Income]])</f>
        <v>-2615.0474999999951</v>
      </c>
      <c r="J320" s="1">
        <f>IF(Data[[#This Row],[Category]]="Savings or Investments", Data[[#This Row],[Actual Expense]],0)</f>
        <v>0</v>
      </c>
    </row>
    <row r="321" spans="1:10" x14ac:dyDescent="0.2">
      <c r="A321" s="5" t="str">
        <f>TEXT(Data[[#This Row],[Date]],"yyyy")</f>
        <v>2021</v>
      </c>
      <c r="B321" s="5" t="str">
        <f>TEXT(Data[[#This Row],[Date]],"mmm")</f>
        <v>Jun</v>
      </c>
      <c r="C321" s="3">
        <v>44363</v>
      </c>
      <c r="D321" t="s">
        <v>172</v>
      </c>
      <c r="E321" t="s">
        <v>48</v>
      </c>
      <c r="F321" t="s">
        <v>70</v>
      </c>
      <c r="G321" s="1">
        <v>200</v>
      </c>
      <c r="I321" s="1">
        <f ca="1">IFERROR(OFFSET(Data[[#This Row],[Balance]],-1,0)+Data[[#This Row],[Actual Income]]-Data[[#This Row],[Actual Expense]], Data[[#This Row],[Actual Income]])</f>
        <v>-2815.0474999999951</v>
      </c>
      <c r="J321" s="1">
        <f>IF(Data[[#This Row],[Category]]="Savings or Investments", Data[[#This Row],[Actual Expense]],0)</f>
        <v>200</v>
      </c>
    </row>
    <row r="322" spans="1:10" x14ac:dyDescent="0.2">
      <c r="A322" s="5" t="str">
        <f>TEXT(Data[[#This Row],[Date]],"yyyy")</f>
        <v>2021</v>
      </c>
      <c r="B322" s="5" t="str">
        <f>TEXT(Data[[#This Row],[Date]],"mmm")</f>
        <v>Jun</v>
      </c>
      <c r="C322" s="3">
        <v>44363</v>
      </c>
      <c r="D322" t="s">
        <v>291</v>
      </c>
      <c r="E322" t="s">
        <v>31</v>
      </c>
      <c r="F322" t="s">
        <v>55</v>
      </c>
      <c r="G322" s="1">
        <v>13.01</v>
      </c>
      <c r="I322" s="1">
        <f ca="1">IFERROR(OFFSET(Data[[#This Row],[Balance]],-1,0)+Data[[#This Row],[Actual Income]]-Data[[#This Row],[Actual Expense]], Data[[#This Row],[Actual Income]])</f>
        <v>-2828.0574999999953</v>
      </c>
      <c r="J322" s="1">
        <f>IF(Data[[#This Row],[Category]]="Savings or Investments", Data[[#This Row],[Actual Expense]],0)</f>
        <v>0</v>
      </c>
    </row>
    <row r="323" spans="1:10" x14ac:dyDescent="0.2">
      <c r="A323" s="5" t="str">
        <f>TEXT(Data[[#This Row],[Date]],"yyyy")</f>
        <v>2021</v>
      </c>
      <c r="B323" s="5" t="str">
        <f>TEXT(Data[[#This Row],[Date]],"mmm")</f>
        <v>Jun</v>
      </c>
      <c r="C323" s="3">
        <v>44364</v>
      </c>
      <c r="D323" t="s">
        <v>292</v>
      </c>
      <c r="E323" t="s">
        <v>47</v>
      </c>
      <c r="F323" t="s">
        <v>32</v>
      </c>
      <c r="G323" s="1">
        <v>115</v>
      </c>
      <c r="I323" s="1">
        <f ca="1">IFERROR(OFFSET(Data[[#This Row],[Balance]],-1,0)+Data[[#This Row],[Actual Income]]-Data[[#This Row],[Actual Expense]], Data[[#This Row],[Actual Income]])</f>
        <v>-2943.0574999999953</v>
      </c>
      <c r="J323" s="1">
        <f>IF(Data[[#This Row],[Category]]="Savings or Investments", Data[[#This Row],[Actual Expense]],0)</f>
        <v>0</v>
      </c>
    </row>
    <row r="324" spans="1:10" x14ac:dyDescent="0.2">
      <c r="A324" s="5" t="str">
        <f>TEXT(Data[[#This Row],[Date]],"yyyy")</f>
        <v>2021</v>
      </c>
      <c r="B324" s="5" t="str">
        <f>TEXT(Data[[#This Row],[Date]],"mmm")</f>
        <v>Jun</v>
      </c>
      <c r="C324" s="3">
        <v>44364</v>
      </c>
      <c r="D324" t="s">
        <v>293</v>
      </c>
      <c r="E324" t="s">
        <v>44</v>
      </c>
      <c r="F324" t="s">
        <v>19</v>
      </c>
      <c r="G324" s="1">
        <v>29.61</v>
      </c>
      <c r="I324" s="1">
        <f ca="1">IFERROR(OFFSET(Data[[#This Row],[Balance]],-1,0)+Data[[#This Row],[Actual Income]]-Data[[#This Row],[Actual Expense]], Data[[#This Row],[Actual Income]])</f>
        <v>-2972.6674999999955</v>
      </c>
      <c r="J324" s="1">
        <f>IF(Data[[#This Row],[Category]]="Savings or Investments", Data[[#This Row],[Actual Expense]],0)</f>
        <v>0</v>
      </c>
    </row>
    <row r="325" spans="1:10" x14ac:dyDescent="0.2">
      <c r="A325" s="5" t="str">
        <f>TEXT(Data[[#This Row],[Date]],"yyyy")</f>
        <v>2021</v>
      </c>
      <c r="B325" s="5" t="str">
        <f>TEXT(Data[[#This Row],[Date]],"mmm")</f>
        <v>Jun</v>
      </c>
      <c r="C325" s="3">
        <v>44364</v>
      </c>
      <c r="D325" t="s">
        <v>210</v>
      </c>
      <c r="E325" t="s">
        <v>53</v>
      </c>
      <c r="F325" t="s">
        <v>259</v>
      </c>
      <c r="G325" s="1">
        <v>52.99</v>
      </c>
      <c r="I325" s="1">
        <f ca="1">IFERROR(OFFSET(Data[[#This Row],[Balance]],-1,0)+Data[[#This Row],[Actual Income]]-Data[[#This Row],[Actual Expense]], Data[[#This Row],[Actual Income]])</f>
        <v>-3025.6574999999953</v>
      </c>
      <c r="J325" s="1">
        <f>IF(Data[[#This Row],[Category]]="Savings or Investments", Data[[#This Row],[Actual Expense]],0)</f>
        <v>0</v>
      </c>
    </row>
    <row r="326" spans="1:10" x14ac:dyDescent="0.2">
      <c r="A326" s="5" t="str">
        <f>TEXT(Data[[#This Row],[Date]],"yyyy")</f>
        <v>2021</v>
      </c>
      <c r="B326" s="5" t="str">
        <f>TEXT(Data[[#This Row],[Date]],"mmm")</f>
        <v>Jun</v>
      </c>
      <c r="C326" s="3">
        <v>44364</v>
      </c>
      <c r="D326" t="s">
        <v>263</v>
      </c>
      <c r="E326" t="s">
        <v>31</v>
      </c>
      <c r="F326" t="s">
        <v>30</v>
      </c>
      <c r="G326" s="1">
        <v>84.19</v>
      </c>
      <c r="I326" s="1">
        <f ca="1">IFERROR(OFFSET(Data[[#This Row],[Balance]],-1,0)+Data[[#This Row],[Actual Income]]-Data[[#This Row],[Actual Expense]], Data[[#This Row],[Actual Income]])</f>
        <v>-3109.8474999999953</v>
      </c>
      <c r="J326" s="1">
        <f>IF(Data[[#This Row],[Category]]="Savings or Investments", Data[[#This Row],[Actual Expense]],0)</f>
        <v>0</v>
      </c>
    </row>
    <row r="327" spans="1:10" x14ac:dyDescent="0.2">
      <c r="A327" s="5" t="str">
        <f>TEXT(Data[[#This Row],[Date]],"yyyy")</f>
        <v>2021</v>
      </c>
      <c r="B327" s="5" t="str">
        <f>TEXT(Data[[#This Row],[Date]],"mmm")</f>
        <v>Jun</v>
      </c>
      <c r="C327" s="3">
        <v>44365</v>
      </c>
      <c r="D327" t="s">
        <v>216</v>
      </c>
      <c r="E327" t="s">
        <v>31</v>
      </c>
      <c r="F327" t="s">
        <v>55</v>
      </c>
      <c r="G327" s="1">
        <v>5.6</v>
      </c>
      <c r="I327" s="1">
        <f ca="1">IFERROR(OFFSET(Data[[#This Row],[Balance]],-1,0)+Data[[#This Row],[Actual Income]]-Data[[#This Row],[Actual Expense]], Data[[#This Row],[Actual Income]])</f>
        <v>-3115.4474999999952</v>
      </c>
      <c r="J327" s="1">
        <f>IF(Data[[#This Row],[Category]]="Savings or Investments", Data[[#This Row],[Actual Expense]],0)</f>
        <v>0</v>
      </c>
    </row>
    <row r="328" spans="1:10" x14ac:dyDescent="0.2">
      <c r="A328" s="5" t="str">
        <f>TEXT(Data[[#This Row],[Date]],"yyyy")</f>
        <v>2021</v>
      </c>
      <c r="B328" s="5" t="str">
        <f>TEXT(Data[[#This Row],[Date]],"mmm")</f>
        <v>Jun</v>
      </c>
      <c r="C328" s="3">
        <v>44365</v>
      </c>
      <c r="D328" t="s">
        <v>248</v>
      </c>
      <c r="E328" t="s">
        <v>31</v>
      </c>
      <c r="F328" t="s">
        <v>30</v>
      </c>
      <c r="G328" s="1">
        <v>12.97</v>
      </c>
      <c r="I328" s="1">
        <f ca="1">IFERROR(OFFSET(Data[[#This Row],[Balance]],-1,0)+Data[[#This Row],[Actual Income]]-Data[[#This Row],[Actual Expense]], Data[[#This Row],[Actual Income]])</f>
        <v>-3128.417499999995</v>
      </c>
      <c r="J328" s="1">
        <f>IF(Data[[#This Row],[Category]]="Savings or Investments", Data[[#This Row],[Actual Expense]],0)</f>
        <v>0</v>
      </c>
    </row>
    <row r="329" spans="1:10" x14ac:dyDescent="0.2">
      <c r="A329" s="5" t="str">
        <f>TEXT(Data[[#This Row],[Date]],"yyyy")</f>
        <v>2021</v>
      </c>
      <c r="B329" s="5" t="str">
        <f>TEXT(Data[[#This Row],[Date]],"mmm")</f>
        <v>Jun</v>
      </c>
      <c r="C329" s="3">
        <v>44365</v>
      </c>
      <c r="D329" t="s">
        <v>83</v>
      </c>
      <c r="E329" t="s">
        <v>81</v>
      </c>
      <c r="F329" t="s">
        <v>174</v>
      </c>
      <c r="G329" s="1"/>
      <c r="H329">
        <v>1876.04</v>
      </c>
      <c r="I329" s="1">
        <f ca="1">IFERROR(OFFSET(Data[[#This Row],[Balance]],-1,0)+Data[[#This Row],[Actual Income]]-Data[[#This Row],[Actual Expense]], Data[[#This Row],[Actual Income]])</f>
        <v>-1252.3774999999951</v>
      </c>
      <c r="J329" s="1">
        <f>IF(Data[[#This Row],[Category]]="Savings or Investments", Data[[#This Row],[Actual Expense]],0)</f>
        <v>0</v>
      </c>
    </row>
    <row r="330" spans="1:10" x14ac:dyDescent="0.2">
      <c r="A330" s="5" t="str">
        <f>TEXT(Data[[#This Row],[Date]],"yyyy")</f>
        <v>2021</v>
      </c>
      <c r="B330" s="5" t="str">
        <f>TEXT(Data[[#This Row],[Date]],"mmm")</f>
        <v>Jun</v>
      </c>
      <c r="C330" s="3">
        <v>44367</v>
      </c>
      <c r="D330" t="s">
        <v>181</v>
      </c>
      <c r="E330" t="s">
        <v>31</v>
      </c>
      <c r="F330" t="s">
        <v>30</v>
      </c>
      <c r="G330" s="1">
        <v>38.39</v>
      </c>
      <c r="I330" s="1">
        <f ca="1">IFERROR(OFFSET(Data[[#This Row],[Balance]],-1,0)+Data[[#This Row],[Actual Income]]-Data[[#This Row],[Actual Expense]], Data[[#This Row],[Actual Income]])</f>
        <v>-1290.7674999999952</v>
      </c>
      <c r="J330" s="1">
        <f>IF(Data[[#This Row],[Category]]="Savings or Investments", Data[[#This Row],[Actual Expense]],0)</f>
        <v>0</v>
      </c>
    </row>
    <row r="331" spans="1:10" x14ac:dyDescent="0.2">
      <c r="A331" s="5" t="str">
        <f>TEXT(Data[[#This Row],[Date]],"yyyy")</f>
        <v>2021</v>
      </c>
      <c r="B331" s="5" t="str">
        <f>TEXT(Data[[#This Row],[Date]],"mmm")</f>
        <v>Jun</v>
      </c>
      <c r="C331" s="3">
        <v>44367</v>
      </c>
      <c r="D331" t="s">
        <v>294</v>
      </c>
      <c r="E331" t="s">
        <v>43</v>
      </c>
      <c r="F331" t="s">
        <v>288</v>
      </c>
      <c r="G331" s="1">
        <v>639.05999999999995</v>
      </c>
      <c r="I331" s="1">
        <f ca="1">IFERROR(OFFSET(Data[[#This Row],[Balance]],-1,0)+Data[[#This Row],[Actual Income]]-Data[[#This Row],[Actual Expense]], Data[[#This Row],[Actual Income]])</f>
        <v>-1929.8274999999951</v>
      </c>
      <c r="J331" s="1">
        <f>IF(Data[[#This Row],[Category]]="Savings or Investments", Data[[#This Row],[Actual Expense]],0)</f>
        <v>0</v>
      </c>
    </row>
    <row r="332" spans="1:10" x14ac:dyDescent="0.2">
      <c r="A332" s="5" t="str">
        <f>TEXT(Data[[#This Row],[Date]],"yyyy")</f>
        <v>2021</v>
      </c>
      <c r="B332" s="5" t="str">
        <f>TEXT(Data[[#This Row],[Date]],"mmm")</f>
        <v>Jun</v>
      </c>
      <c r="C332" s="3">
        <v>44368</v>
      </c>
      <c r="D332" t="s">
        <v>261</v>
      </c>
      <c r="E332" t="s">
        <v>31</v>
      </c>
      <c r="F332" t="s">
        <v>55</v>
      </c>
      <c r="G332" s="1">
        <v>10.86</v>
      </c>
      <c r="I332" s="1">
        <f ca="1">IFERROR(OFFSET(Data[[#This Row],[Balance]],-1,0)+Data[[#This Row],[Actual Income]]-Data[[#This Row],[Actual Expense]], Data[[#This Row],[Actual Income]])</f>
        <v>-1940.687499999995</v>
      </c>
      <c r="J332" s="1">
        <f>IF(Data[[#This Row],[Category]]="Savings or Investments", Data[[#This Row],[Actual Expense]],0)</f>
        <v>0</v>
      </c>
    </row>
    <row r="333" spans="1:10" x14ac:dyDescent="0.2">
      <c r="A333" s="5" t="str">
        <f>TEXT(Data[[#This Row],[Date]],"yyyy")</f>
        <v>2021</v>
      </c>
      <c r="B333" s="5" t="str">
        <f>TEXT(Data[[#This Row],[Date]],"mmm")</f>
        <v>Jun</v>
      </c>
      <c r="C333" s="3">
        <v>44368</v>
      </c>
      <c r="D333" t="s">
        <v>295</v>
      </c>
      <c r="E333" t="s">
        <v>31</v>
      </c>
      <c r="F333" t="s">
        <v>30</v>
      </c>
      <c r="G333" s="1">
        <v>145.13</v>
      </c>
      <c r="I333" s="1">
        <f ca="1">IFERROR(OFFSET(Data[[#This Row],[Balance]],-1,0)+Data[[#This Row],[Actual Income]]-Data[[#This Row],[Actual Expense]], Data[[#This Row],[Actual Income]])</f>
        <v>-2085.8174999999951</v>
      </c>
      <c r="J333" s="1">
        <f>IF(Data[[#This Row],[Category]]="Savings or Investments", Data[[#This Row],[Actual Expense]],0)</f>
        <v>0</v>
      </c>
    </row>
    <row r="334" spans="1:10" x14ac:dyDescent="0.2">
      <c r="A334" s="5" t="str">
        <f>TEXT(Data[[#This Row],[Date]],"yyyy")</f>
        <v>2021</v>
      </c>
      <c r="B334" s="5" t="str">
        <f>TEXT(Data[[#This Row],[Date]],"mmm")</f>
        <v>Jun</v>
      </c>
      <c r="C334" s="3">
        <v>44369</v>
      </c>
      <c r="D334" t="s">
        <v>261</v>
      </c>
      <c r="E334" t="s">
        <v>31</v>
      </c>
      <c r="F334" t="s">
        <v>55</v>
      </c>
      <c r="G334" s="1">
        <v>5.91</v>
      </c>
      <c r="I334" s="1">
        <f ca="1">IFERROR(OFFSET(Data[[#This Row],[Balance]],-1,0)+Data[[#This Row],[Actual Income]]-Data[[#This Row],[Actual Expense]], Data[[#This Row],[Actual Income]])</f>
        <v>-2091.727499999995</v>
      </c>
      <c r="J334" s="1">
        <f>IF(Data[[#This Row],[Category]]="Savings or Investments", Data[[#This Row],[Actual Expense]],0)</f>
        <v>0</v>
      </c>
    </row>
    <row r="335" spans="1:10" x14ac:dyDescent="0.2">
      <c r="A335" s="5" t="str">
        <f>TEXT(Data[[#This Row],[Date]],"yyyy")</f>
        <v>2021</v>
      </c>
      <c r="B335" s="5" t="str">
        <f>TEXT(Data[[#This Row],[Date]],"mmm")</f>
        <v>Jun</v>
      </c>
      <c r="C335" s="3">
        <v>44369</v>
      </c>
      <c r="D335" t="s">
        <v>296</v>
      </c>
      <c r="E335" t="s">
        <v>31</v>
      </c>
      <c r="F335" t="s">
        <v>30</v>
      </c>
      <c r="G335" s="1">
        <v>-48.38</v>
      </c>
      <c r="I335" s="1">
        <f ca="1">IFERROR(OFFSET(Data[[#This Row],[Balance]],-1,0)+Data[[#This Row],[Actual Income]]-Data[[#This Row],[Actual Expense]], Data[[#This Row],[Actual Income]])</f>
        <v>-2043.3474999999949</v>
      </c>
      <c r="J335" s="1">
        <f>IF(Data[[#This Row],[Category]]="Savings or Investments", Data[[#This Row],[Actual Expense]],0)</f>
        <v>0</v>
      </c>
    </row>
    <row r="336" spans="1:10" x14ac:dyDescent="0.2">
      <c r="A336" s="5" t="str">
        <f>TEXT(Data[[#This Row],[Date]],"yyyy")</f>
        <v>2021</v>
      </c>
      <c r="B336" s="5" t="str">
        <f>TEXT(Data[[#This Row],[Date]],"mmm")</f>
        <v>Jun</v>
      </c>
      <c r="C336" s="3">
        <v>44370</v>
      </c>
      <c r="D336" t="s">
        <v>172</v>
      </c>
      <c r="E336" t="s">
        <v>48</v>
      </c>
      <c r="F336" t="s">
        <v>70</v>
      </c>
      <c r="G336" s="1">
        <v>200</v>
      </c>
      <c r="I336" s="1">
        <f ca="1">IFERROR(OFFSET(Data[[#This Row],[Balance]],-1,0)+Data[[#This Row],[Actual Income]]-Data[[#This Row],[Actual Expense]], Data[[#This Row],[Actual Income]])</f>
        <v>-2243.3474999999949</v>
      </c>
      <c r="J336" s="1">
        <f>IF(Data[[#This Row],[Category]]="Savings or Investments", Data[[#This Row],[Actual Expense]],0)</f>
        <v>200</v>
      </c>
    </row>
    <row r="337" spans="1:10" x14ac:dyDescent="0.2">
      <c r="A337" s="5" t="str">
        <f>TEXT(Data[[#This Row],[Date]],"yyyy")</f>
        <v>2021</v>
      </c>
      <c r="B337" s="5" t="str">
        <f>TEXT(Data[[#This Row],[Date]],"mmm")</f>
        <v>Jun</v>
      </c>
      <c r="C337" s="3">
        <v>44370</v>
      </c>
      <c r="D337" t="s">
        <v>299</v>
      </c>
      <c r="E337" t="s">
        <v>53</v>
      </c>
      <c r="F337" t="s">
        <v>259</v>
      </c>
      <c r="G337" s="1">
        <v>-24.88</v>
      </c>
      <c r="I337" s="1">
        <f ca="1">IFERROR(OFFSET(Data[[#This Row],[Balance]],-1,0)+Data[[#This Row],[Actual Income]]-Data[[#This Row],[Actual Expense]], Data[[#This Row],[Actual Income]])</f>
        <v>-2218.4674999999947</v>
      </c>
      <c r="J337" s="1">
        <f>IF(Data[[#This Row],[Category]]="Savings or Investments", Data[[#This Row],[Actual Expense]],0)</f>
        <v>0</v>
      </c>
    </row>
    <row r="338" spans="1:10" x14ac:dyDescent="0.2">
      <c r="A338" s="5" t="str">
        <f>TEXT(Data[[#This Row],[Date]],"yyyy")</f>
        <v>2021</v>
      </c>
      <c r="B338" s="5" t="str">
        <f>TEXT(Data[[#This Row],[Date]],"mmm")</f>
        <v>Jun</v>
      </c>
      <c r="C338" s="3">
        <v>44370</v>
      </c>
      <c r="D338" t="s">
        <v>297</v>
      </c>
      <c r="E338" t="s">
        <v>49</v>
      </c>
      <c r="F338" t="s">
        <v>298</v>
      </c>
      <c r="G338" s="1">
        <v>118.47</v>
      </c>
      <c r="I338" s="1">
        <f ca="1">IFERROR(OFFSET(Data[[#This Row],[Balance]],-1,0)+Data[[#This Row],[Actual Income]]-Data[[#This Row],[Actual Expense]], Data[[#This Row],[Actual Income]])</f>
        <v>-2336.9374999999945</v>
      </c>
      <c r="J338" s="1">
        <f>IF(Data[[#This Row],[Category]]="Savings or Investments", Data[[#This Row],[Actual Expense]],0)</f>
        <v>0</v>
      </c>
    </row>
    <row r="339" spans="1:10" x14ac:dyDescent="0.2">
      <c r="A339" s="5" t="str">
        <f>TEXT(Data[[#This Row],[Date]],"yyyy")</f>
        <v>2021</v>
      </c>
      <c r="B339" s="5" t="str">
        <f>TEXT(Data[[#This Row],[Date]],"mmm")</f>
        <v>Jun</v>
      </c>
      <c r="C339" s="3">
        <v>44371</v>
      </c>
      <c r="D339" t="s">
        <v>64</v>
      </c>
      <c r="E339" t="s">
        <v>31</v>
      </c>
      <c r="F339" t="s">
        <v>30</v>
      </c>
      <c r="G339" s="1">
        <v>45.46</v>
      </c>
      <c r="I339" s="1">
        <f ca="1">IFERROR(OFFSET(Data[[#This Row],[Balance]],-1,0)+Data[[#This Row],[Actual Income]]-Data[[#This Row],[Actual Expense]], Data[[#This Row],[Actual Income]])</f>
        <v>-2382.3974999999946</v>
      </c>
      <c r="J339" s="1">
        <f>IF(Data[[#This Row],[Category]]="Savings or Investments", Data[[#This Row],[Actual Expense]],0)</f>
        <v>0</v>
      </c>
    </row>
    <row r="340" spans="1:10" x14ac:dyDescent="0.2">
      <c r="A340" s="5" t="str">
        <f>TEXT(Data[[#This Row],[Date]],"yyyy")</f>
        <v>2021</v>
      </c>
      <c r="B340" s="5" t="str">
        <f>TEXT(Data[[#This Row],[Date]],"mmm")</f>
        <v>Jun</v>
      </c>
      <c r="C340" s="3">
        <v>44372</v>
      </c>
      <c r="D340" t="s">
        <v>300</v>
      </c>
      <c r="E340" t="s">
        <v>31</v>
      </c>
      <c r="F340" t="s">
        <v>55</v>
      </c>
      <c r="G340" s="1">
        <v>13.79</v>
      </c>
      <c r="I340" s="1">
        <f ca="1">IFERROR(OFFSET(Data[[#This Row],[Balance]],-1,0)+Data[[#This Row],[Actual Income]]-Data[[#This Row],[Actual Expense]], Data[[#This Row],[Actual Income]])</f>
        <v>-2396.1874999999945</v>
      </c>
      <c r="J340" s="1">
        <f>IF(Data[[#This Row],[Category]]="Savings or Investments", Data[[#This Row],[Actual Expense]],0)</f>
        <v>0</v>
      </c>
    </row>
    <row r="341" spans="1:10" x14ac:dyDescent="0.2">
      <c r="A341" s="5" t="str">
        <f>TEXT(Data[[#This Row],[Date]],"yyyy")</f>
        <v>2021</v>
      </c>
      <c r="B341" s="5" t="str">
        <f>TEXT(Data[[#This Row],[Date]],"mmm")</f>
        <v>Jun</v>
      </c>
      <c r="C341" s="3">
        <v>44373</v>
      </c>
      <c r="D341" t="s">
        <v>301</v>
      </c>
      <c r="E341" t="s">
        <v>31</v>
      </c>
      <c r="F341" t="s">
        <v>55</v>
      </c>
      <c r="G341" s="1">
        <v>5.27</v>
      </c>
      <c r="I341" s="1">
        <f ca="1">IFERROR(OFFSET(Data[[#This Row],[Balance]],-1,0)+Data[[#This Row],[Actual Income]]-Data[[#This Row],[Actual Expense]], Data[[#This Row],[Actual Income]])</f>
        <v>-2401.4574999999945</v>
      </c>
      <c r="J341" s="1">
        <f>IF(Data[[#This Row],[Category]]="Savings or Investments", Data[[#This Row],[Actual Expense]],0)</f>
        <v>0</v>
      </c>
    </row>
    <row r="342" spans="1:10" x14ac:dyDescent="0.2">
      <c r="A342" s="5" t="str">
        <f>TEXT(Data[[#This Row],[Date]],"yyyy")</f>
        <v>2021</v>
      </c>
      <c r="B342" s="5" t="str">
        <f>TEXT(Data[[#This Row],[Date]],"mmm")</f>
        <v>Jun</v>
      </c>
      <c r="C342" s="3">
        <v>44373</v>
      </c>
      <c r="D342" t="s">
        <v>303</v>
      </c>
      <c r="E342" t="s">
        <v>53</v>
      </c>
      <c r="F342" t="s">
        <v>188</v>
      </c>
      <c r="G342" s="1">
        <v>16.77</v>
      </c>
      <c r="I342" s="1">
        <f ca="1">IFERROR(OFFSET(Data[[#This Row],[Balance]],-1,0)+Data[[#This Row],[Actual Income]]-Data[[#This Row],[Actual Expense]], Data[[#This Row],[Actual Income]])</f>
        <v>-2418.2274999999945</v>
      </c>
      <c r="J342" s="1">
        <f>IF(Data[[#This Row],[Category]]="Savings or Investments", Data[[#This Row],[Actual Expense]],0)</f>
        <v>0</v>
      </c>
    </row>
    <row r="343" spans="1:10" x14ac:dyDescent="0.2">
      <c r="A343" s="5" t="str">
        <f>TEXT(Data[[#This Row],[Date]],"yyyy")</f>
        <v>2021</v>
      </c>
      <c r="B343" s="5" t="str">
        <f>TEXT(Data[[#This Row],[Date]],"mmm")</f>
        <v>Jun</v>
      </c>
      <c r="C343" s="3">
        <v>44373</v>
      </c>
      <c r="D343" t="s">
        <v>304</v>
      </c>
      <c r="E343" t="s">
        <v>43</v>
      </c>
      <c r="F343" t="s">
        <v>288</v>
      </c>
      <c r="G343" s="1">
        <v>22.48</v>
      </c>
      <c r="I343" s="1">
        <f ca="1">IFERROR(OFFSET(Data[[#This Row],[Balance]],-1,0)+Data[[#This Row],[Actual Income]]-Data[[#This Row],[Actual Expense]], Data[[#This Row],[Actual Income]])</f>
        <v>-2440.7074999999945</v>
      </c>
      <c r="J343" s="1">
        <f>IF(Data[[#This Row],[Category]]="Savings or Investments", Data[[#This Row],[Actual Expense]],0)</f>
        <v>0</v>
      </c>
    </row>
    <row r="344" spans="1:10" x14ac:dyDescent="0.2">
      <c r="A344" s="5" t="str">
        <f>TEXT(Data[[#This Row],[Date]],"yyyy")</f>
        <v>2021</v>
      </c>
      <c r="B344" s="5" t="str">
        <f>TEXT(Data[[#This Row],[Date]],"mmm")</f>
        <v>Jun</v>
      </c>
      <c r="C344" s="3">
        <v>44373</v>
      </c>
      <c r="D344" t="s">
        <v>170</v>
      </c>
      <c r="E344" t="s">
        <v>44</v>
      </c>
      <c r="F344" t="s">
        <v>19</v>
      </c>
      <c r="G344" s="1">
        <v>26.21</v>
      </c>
      <c r="I344" s="1">
        <f ca="1">IFERROR(OFFSET(Data[[#This Row],[Balance]],-1,0)+Data[[#This Row],[Actual Income]]-Data[[#This Row],[Actual Expense]], Data[[#This Row],[Actual Income]])</f>
        <v>-2466.9174999999946</v>
      </c>
      <c r="J344" s="1">
        <f>IF(Data[[#This Row],[Category]]="Savings or Investments", Data[[#This Row],[Actual Expense]],0)</f>
        <v>0</v>
      </c>
    </row>
    <row r="345" spans="1:10" x14ac:dyDescent="0.2">
      <c r="A345" s="5" t="str">
        <f>TEXT(Data[[#This Row],[Date]],"yyyy")</f>
        <v>2021</v>
      </c>
      <c r="B345" s="5" t="str">
        <f>TEXT(Data[[#This Row],[Date]],"mmm")</f>
        <v>Jun</v>
      </c>
      <c r="C345" s="3">
        <v>44373</v>
      </c>
      <c r="D345" t="s">
        <v>305</v>
      </c>
      <c r="E345" t="s">
        <v>53</v>
      </c>
      <c r="F345" t="s">
        <v>259</v>
      </c>
      <c r="G345" s="1">
        <v>45.96</v>
      </c>
      <c r="I345" s="1">
        <f ca="1">IFERROR(OFFSET(Data[[#This Row],[Balance]],-1,0)+Data[[#This Row],[Actual Income]]-Data[[#This Row],[Actual Expense]], Data[[#This Row],[Actual Income]])</f>
        <v>-2512.8774999999946</v>
      </c>
      <c r="J345" s="1">
        <f>IF(Data[[#This Row],[Category]]="Savings or Investments", Data[[#This Row],[Actual Expense]],0)</f>
        <v>0</v>
      </c>
    </row>
    <row r="346" spans="1:10" x14ac:dyDescent="0.2">
      <c r="A346" s="5" t="str">
        <f>TEXT(Data[[#This Row],[Date]],"yyyy")</f>
        <v>2021</v>
      </c>
      <c r="B346" s="5" t="str">
        <f>TEXT(Data[[#This Row],[Date]],"mmm")</f>
        <v>Jun</v>
      </c>
      <c r="C346" s="3">
        <v>44373</v>
      </c>
      <c r="D346" t="s">
        <v>306</v>
      </c>
      <c r="E346" t="s">
        <v>31</v>
      </c>
      <c r="F346" t="s">
        <v>30</v>
      </c>
      <c r="G346" s="1">
        <v>68.150000000000006</v>
      </c>
      <c r="I346" s="1">
        <f ca="1">IFERROR(OFFSET(Data[[#This Row],[Balance]],-1,0)+Data[[#This Row],[Actual Income]]-Data[[#This Row],[Actual Expense]], Data[[#This Row],[Actual Income]])</f>
        <v>-2581.0274999999947</v>
      </c>
      <c r="J346" s="1">
        <f>IF(Data[[#This Row],[Category]]="Savings or Investments", Data[[#This Row],[Actual Expense]],0)</f>
        <v>0</v>
      </c>
    </row>
    <row r="347" spans="1:10" x14ac:dyDescent="0.2">
      <c r="A347" s="5" t="str">
        <f>TEXT(Data[[#This Row],[Date]],"yyyy")</f>
        <v>2021</v>
      </c>
      <c r="B347" s="5" t="str">
        <f>TEXT(Data[[#This Row],[Date]],"mmm")</f>
        <v>Jun</v>
      </c>
      <c r="C347" s="3">
        <v>44373</v>
      </c>
      <c r="D347" t="s">
        <v>302</v>
      </c>
      <c r="E347" t="s">
        <v>53</v>
      </c>
      <c r="F347" t="s">
        <v>259</v>
      </c>
      <c r="G347" s="1">
        <v>89.79</v>
      </c>
      <c r="I347" s="1">
        <f ca="1">IFERROR(OFFSET(Data[[#This Row],[Balance]],-1,0)+Data[[#This Row],[Actual Income]]-Data[[#This Row],[Actual Expense]], Data[[#This Row],[Actual Income]])</f>
        <v>-2670.8174999999947</v>
      </c>
      <c r="J347" s="1">
        <f>IF(Data[[#This Row],[Category]]="Savings or Investments", Data[[#This Row],[Actual Expense]],0)</f>
        <v>0</v>
      </c>
    </row>
    <row r="348" spans="1:10" x14ac:dyDescent="0.2">
      <c r="A348" s="5" t="str">
        <f>TEXT(Data[[#This Row],[Date]],"yyyy")</f>
        <v>2021</v>
      </c>
      <c r="B348" s="5" t="str">
        <f>TEXT(Data[[#This Row],[Date]],"mmm")</f>
        <v>Jun</v>
      </c>
      <c r="C348" s="3">
        <v>44374</v>
      </c>
      <c r="D348" t="s">
        <v>99</v>
      </c>
      <c r="E348" t="s">
        <v>31</v>
      </c>
      <c r="F348" t="s">
        <v>29</v>
      </c>
      <c r="G348" s="1">
        <v>125.14</v>
      </c>
      <c r="I348" s="1">
        <f ca="1">IFERROR(OFFSET(Data[[#This Row],[Balance]],-1,0)+Data[[#This Row],[Actual Income]]-Data[[#This Row],[Actual Expense]], Data[[#This Row],[Actual Income]])</f>
        <v>-2795.9574999999945</v>
      </c>
      <c r="J348" s="1">
        <f>IF(Data[[#This Row],[Category]]="Savings or Investments", Data[[#This Row],[Actual Expense]],0)</f>
        <v>0</v>
      </c>
    </row>
    <row r="349" spans="1:10" x14ac:dyDescent="0.2">
      <c r="A349" s="5" t="str">
        <f>TEXT(Data[[#This Row],[Date]],"yyyy")</f>
        <v>2021</v>
      </c>
      <c r="B349" s="5" t="str">
        <f>TEXT(Data[[#This Row],[Date]],"mmm")</f>
        <v>Jun</v>
      </c>
      <c r="C349" s="3">
        <v>44375</v>
      </c>
      <c r="D349" t="s">
        <v>281</v>
      </c>
      <c r="E349" t="s">
        <v>53</v>
      </c>
      <c r="F349" t="s">
        <v>80</v>
      </c>
      <c r="G349" s="1">
        <v>-67.41</v>
      </c>
      <c r="I349" s="1">
        <f ca="1">IFERROR(OFFSET(Data[[#This Row],[Balance]],-1,0)+Data[[#This Row],[Actual Income]]-Data[[#This Row],[Actual Expense]], Data[[#This Row],[Actual Income]])</f>
        <v>-2728.5474999999947</v>
      </c>
      <c r="J349" s="1">
        <f>IF(Data[[#This Row],[Category]]="Savings or Investments", Data[[#This Row],[Actual Expense]],0)</f>
        <v>0</v>
      </c>
    </row>
    <row r="350" spans="1:10" x14ac:dyDescent="0.2">
      <c r="A350" s="5" t="str">
        <f>TEXT(Data[[#This Row],[Date]],"yyyy")</f>
        <v>2021</v>
      </c>
      <c r="B350" s="5" t="str">
        <f>TEXT(Data[[#This Row],[Date]],"mmm")</f>
        <v>Jun</v>
      </c>
      <c r="C350" s="3">
        <v>44376</v>
      </c>
      <c r="D350" t="s">
        <v>278</v>
      </c>
      <c r="E350" t="s">
        <v>31</v>
      </c>
      <c r="F350" t="s">
        <v>55</v>
      </c>
      <c r="G350" s="1">
        <v>9.44</v>
      </c>
      <c r="I350" s="1">
        <f ca="1">IFERROR(OFFSET(Data[[#This Row],[Balance]],-1,0)+Data[[#This Row],[Actual Income]]-Data[[#This Row],[Actual Expense]], Data[[#This Row],[Actual Income]])</f>
        <v>-2737.9874999999947</v>
      </c>
      <c r="J350" s="1">
        <f>IF(Data[[#This Row],[Category]]="Savings or Investments", Data[[#This Row],[Actual Expense]],0)</f>
        <v>0</v>
      </c>
    </row>
    <row r="351" spans="1:10" x14ac:dyDescent="0.2">
      <c r="A351" s="5" t="str">
        <f>TEXT(Data[[#This Row],[Date]],"yyyy")</f>
        <v>2021</v>
      </c>
      <c r="B351" s="5" t="str">
        <f>TEXT(Data[[#This Row],[Date]],"mmm")</f>
        <v>Jun</v>
      </c>
      <c r="C351" s="3">
        <v>44376</v>
      </c>
      <c r="D351" t="s">
        <v>307</v>
      </c>
      <c r="E351" t="s">
        <v>31</v>
      </c>
      <c r="F351" t="s">
        <v>30</v>
      </c>
      <c r="G351" s="1">
        <v>72.77</v>
      </c>
      <c r="I351" s="1">
        <f ca="1">IFERROR(OFFSET(Data[[#This Row],[Balance]],-1,0)+Data[[#This Row],[Actual Income]]-Data[[#This Row],[Actual Expense]], Data[[#This Row],[Actual Income]])</f>
        <v>-2810.7574999999947</v>
      </c>
      <c r="J351" s="1">
        <f>IF(Data[[#This Row],[Category]]="Savings or Investments", Data[[#This Row],[Actual Expense]],0)</f>
        <v>0</v>
      </c>
    </row>
    <row r="352" spans="1:10" x14ac:dyDescent="0.2">
      <c r="A352" s="5" t="str">
        <f>TEXT(Data[[#This Row],[Date]],"yyyy")</f>
        <v>2021</v>
      </c>
      <c r="B352" s="5" t="str">
        <f>TEXT(Data[[#This Row],[Date]],"mmm")</f>
        <v>Jun</v>
      </c>
      <c r="C352" s="3">
        <v>44377</v>
      </c>
      <c r="D352" t="s">
        <v>172</v>
      </c>
      <c r="E352" t="s">
        <v>48</v>
      </c>
      <c r="F352" t="s">
        <v>70</v>
      </c>
      <c r="G352" s="1">
        <v>200</v>
      </c>
      <c r="I352" s="1">
        <f ca="1">IFERROR(OFFSET(Data[[#This Row],[Balance]],-1,0)+Data[[#This Row],[Actual Income]]-Data[[#This Row],[Actual Expense]], Data[[#This Row],[Actual Income]])</f>
        <v>-3010.7574999999947</v>
      </c>
      <c r="J352" s="1">
        <f>IF(Data[[#This Row],[Category]]="Savings or Investments", Data[[#This Row],[Actual Expense]],0)</f>
        <v>200</v>
      </c>
    </row>
    <row r="353" spans="1:11" x14ac:dyDescent="0.2">
      <c r="A353" s="5" t="str">
        <f>TEXT(Data[[#This Row],[Date]],"yyyy")</f>
        <v>2021</v>
      </c>
      <c r="B353" s="5" t="str">
        <f>TEXT(Data[[#This Row],[Date]],"mmm")</f>
        <v>Jun</v>
      </c>
      <c r="C353" s="3">
        <v>44377</v>
      </c>
      <c r="D353" t="s">
        <v>282</v>
      </c>
      <c r="E353" t="s">
        <v>47</v>
      </c>
      <c r="F353" t="s">
        <v>32</v>
      </c>
      <c r="G353" s="1">
        <v>-30</v>
      </c>
      <c r="I353" s="1">
        <f ca="1">IFERROR(OFFSET(Data[[#This Row],[Balance]],-1,0)+Data[[#This Row],[Actual Income]]-Data[[#This Row],[Actual Expense]], Data[[#This Row],[Actual Income]])</f>
        <v>-2980.7574999999947</v>
      </c>
      <c r="J353" s="1">
        <f>IF(Data[[#This Row],[Category]]="Savings or Investments", Data[[#This Row],[Actual Expense]],0)</f>
        <v>0</v>
      </c>
    </row>
    <row r="354" spans="1:11" x14ac:dyDescent="0.2">
      <c r="A354" s="5" t="str">
        <f>TEXT(Data[[#This Row],[Date]],"yyyy")</f>
        <v>2021</v>
      </c>
      <c r="B354" s="5" t="str">
        <f>TEXT(Data[[#This Row],[Date]],"mmm")</f>
        <v>Jun</v>
      </c>
      <c r="C354" s="3">
        <v>44377</v>
      </c>
      <c r="D354" t="s">
        <v>300</v>
      </c>
      <c r="E354" t="s">
        <v>31</v>
      </c>
      <c r="F354" t="s">
        <v>55</v>
      </c>
      <c r="G354" s="1">
        <v>14.94</v>
      </c>
      <c r="I354" s="1">
        <f ca="1">IFERROR(OFFSET(Data[[#This Row],[Balance]],-1,0)+Data[[#This Row],[Actual Income]]-Data[[#This Row],[Actual Expense]], Data[[#This Row],[Actual Income]])</f>
        <v>-2995.6974999999948</v>
      </c>
      <c r="J354" s="1">
        <f>IF(Data[[#This Row],[Category]]="Savings or Investments", Data[[#This Row],[Actual Expense]],0)</f>
        <v>0</v>
      </c>
    </row>
    <row r="355" spans="1:11" x14ac:dyDescent="0.2">
      <c r="A355" s="5" t="str">
        <f>TEXT(Data[[#This Row],[Date]],"yyyy")</f>
        <v>2021</v>
      </c>
      <c r="B355" s="5" t="str">
        <f>TEXT(Data[[#This Row],[Date]],"mmm")</f>
        <v>Jun</v>
      </c>
      <c r="C355" s="3">
        <v>44377</v>
      </c>
      <c r="D355" t="s">
        <v>283</v>
      </c>
      <c r="E355" t="s">
        <v>47</v>
      </c>
      <c r="F355" t="s">
        <v>32</v>
      </c>
      <c r="G355" s="1">
        <v>130.84</v>
      </c>
      <c r="I355" s="1">
        <f ca="1">IFERROR(OFFSET(Data[[#This Row],[Balance]],-1,0)+Data[[#This Row],[Actual Income]]-Data[[#This Row],[Actual Expense]], Data[[#This Row],[Actual Income]])</f>
        <v>-3126.5374999999949</v>
      </c>
      <c r="J355" s="1">
        <f>IF(Data[[#This Row],[Category]]="Savings or Investments", Data[[#This Row],[Actual Expense]],0)</f>
        <v>0</v>
      </c>
    </row>
    <row r="356" spans="1:11" x14ac:dyDescent="0.2">
      <c r="A356" s="5" t="str">
        <f>TEXT(Data[[#This Row],[Date]],"yyyy")</f>
        <v>2021</v>
      </c>
      <c r="B356" s="5" t="str">
        <f>TEXT(Data[[#This Row],[Date]],"mmm")</f>
        <v>Jul</v>
      </c>
      <c r="C356" s="3">
        <v>44378</v>
      </c>
      <c r="D356" t="s">
        <v>369</v>
      </c>
      <c r="E356" t="s">
        <v>53</v>
      </c>
      <c r="F356" t="s">
        <v>373</v>
      </c>
      <c r="G356" s="1">
        <v>34</v>
      </c>
      <c r="I356" s="1">
        <f ca="1">IFERROR(OFFSET(Data[[#This Row],[Balance]],-1,0)+Data[[#This Row],[Actual Income]]-Data[[#This Row],[Actual Expense]], Data[[#This Row],[Actual Income]])</f>
        <v>-3160.5374999999949</v>
      </c>
      <c r="J356" s="1">
        <f>IF(Data[[#This Row],[Category]]="Savings or Investments", Data[[#This Row],[Actual Expense]],0)</f>
        <v>0</v>
      </c>
      <c r="K356" t="s">
        <v>349</v>
      </c>
    </row>
    <row r="357" spans="1:11" x14ac:dyDescent="0.2">
      <c r="A357" s="5" t="str">
        <f>TEXT(Data[[#This Row],[Date]],"yyyy")</f>
        <v>2021</v>
      </c>
      <c r="B357" s="5" t="str">
        <f>TEXT(Data[[#This Row],[Date]],"mmm")</f>
        <v>Jul</v>
      </c>
      <c r="C357" s="3">
        <v>44378</v>
      </c>
      <c r="D357" t="s">
        <v>370</v>
      </c>
      <c r="E357" t="s">
        <v>44</v>
      </c>
      <c r="F357" t="s">
        <v>284</v>
      </c>
      <c r="G357" s="1">
        <v>295</v>
      </c>
      <c r="I357" s="1">
        <f ca="1">IFERROR(OFFSET(Data[[#This Row],[Balance]],-1,0)+Data[[#This Row],[Actual Income]]-Data[[#This Row],[Actual Expense]], Data[[#This Row],[Actual Income]])</f>
        <v>-3455.5374999999949</v>
      </c>
      <c r="J357" s="1">
        <f>IF(Data[[#This Row],[Category]]="Savings or Investments", Data[[#This Row],[Actual Expense]],0)</f>
        <v>0</v>
      </c>
      <c r="K357" t="s">
        <v>349</v>
      </c>
    </row>
    <row r="358" spans="1:11" x14ac:dyDescent="0.2">
      <c r="A358" s="5" t="str">
        <f>TEXT(Data[[#This Row],[Date]],"yyyy")</f>
        <v>2021</v>
      </c>
      <c r="B358" s="5" t="str">
        <f>TEXT(Data[[#This Row],[Date]],"mmm")</f>
        <v>Jul</v>
      </c>
      <c r="C358" s="3">
        <v>44378</v>
      </c>
      <c r="D358" t="s">
        <v>368</v>
      </c>
      <c r="E358" t="s">
        <v>42</v>
      </c>
      <c r="F358" t="s">
        <v>0</v>
      </c>
      <c r="G358" s="1">
        <v>500</v>
      </c>
      <c r="I358" s="1">
        <f ca="1">IFERROR(OFFSET(Data[[#This Row],[Balance]],-1,0)+Data[[#This Row],[Actual Income]]-Data[[#This Row],[Actual Expense]], Data[[#This Row],[Actual Income]])</f>
        <v>-3955.5374999999949</v>
      </c>
      <c r="J358" s="1">
        <f>IF(Data[[#This Row],[Category]]="Savings or Investments", Data[[#This Row],[Actual Expense]],0)</f>
        <v>0</v>
      </c>
      <c r="K358" t="s">
        <v>349</v>
      </c>
    </row>
    <row r="359" spans="1:11" x14ac:dyDescent="0.2">
      <c r="A359" s="5" t="str">
        <f>TEXT(Data[[#This Row],[Date]],"yyyy")</f>
        <v>2021</v>
      </c>
      <c r="B359" s="5" t="str">
        <f>TEXT(Data[[#This Row],[Date]],"mmm")</f>
        <v>Jul</v>
      </c>
      <c r="C359" s="3">
        <v>44378</v>
      </c>
      <c r="D359" t="s">
        <v>347</v>
      </c>
      <c r="E359" t="s">
        <v>43</v>
      </c>
      <c r="F359" t="s">
        <v>288</v>
      </c>
      <c r="G359" s="1">
        <v>11.46</v>
      </c>
      <c r="I359" s="1">
        <f ca="1">IFERROR(OFFSET(Data[[#This Row],[Balance]],-1,0)+Data[[#This Row],[Actual Income]]-Data[[#This Row],[Actual Expense]], Data[[#This Row],[Actual Income]])</f>
        <v>-3966.9974999999949</v>
      </c>
      <c r="J359" s="1">
        <f>IF(Data[[#This Row],[Category]]="Savings or Investments", Data[[#This Row],[Actual Expense]],0)</f>
        <v>0</v>
      </c>
      <c r="K359" t="s">
        <v>286</v>
      </c>
    </row>
    <row r="360" spans="1:11" x14ac:dyDescent="0.2">
      <c r="A360" s="5" t="str">
        <f>TEXT(Data[[#This Row],[Date]],"yyyy")</f>
        <v>2021</v>
      </c>
      <c r="B360" s="5" t="str">
        <f>TEXT(Data[[#This Row],[Date]],"mmm")</f>
        <v>Jul</v>
      </c>
      <c r="C360" s="3">
        <v>44378</v>
      </c>
      <c r="D360" t="s">
        <v>348</v>
      </c>
      <c r="E360" t="s">
        <v>43</v>
      </c>
      <c r="F360" t="s">
        <v>288</v>
      </c>
      <c r="G360" s="1">
        <v>24.56</v>
      </c>
      <c r="I360" s="1">
        <f ca="1">IFERROR(OFFSET(Data[[#This Row],[Balance]],-1,0)+Data[[#This Row],[Actual Income]]-Data[[#This Row],[Actual Expense]], Data[[#This Row],[Actual Income]])</f>
        <v>-3991.5574999999949</v>
      </c>
      <c r="J360" s="1">
        <f>IF(Data[[#This Row],[Category]]="Savings or Investments", Data[[#This Row],[Actual Expense]],0)</f>
        <v>0</v>
      </c>
      <c r="K360" t="s">
        <v>286</v>
      </c>
    </row>
    <row r="361" spans="1:11" x14ac:dyDescent="0.2">
      <c r="A361" s="5" t="str">
        <f>TEXT(Data[[#This Row],[Date]],"yyyy")</f>
        <v>2021</v>
      </c>
      <c r="B361" s="5" t="str">
        <f>TEXT(Data[[#This Row],[Date]],"mmm")</f>
        <v>Jul</v>
      </c>
      <c r="C361" s="3">
        <v>44378</v>
      </c>
      <c r="D361" t="s">
        <v>338</v>
      </c>
      <c r="E361" t="s">
        <v>43</v>
      </c>
      <c r="F361" t="s">
        <v>288</v>
      </c>
      <c r="G361" s="1">
        <v>26.71</v>
      </c>
      <c r="I361" s="1">
        <f ca="1">IFERROR(OFFSET(Data[[#This Row],[Balance]],-1,0)+Data[[#This Row],[Actual Income]]-Data[[#This Row],[Actual Expense]], Data[[#This Row],[Actual Income]])</f>
        <v>-4018.2674999999949</v>
      </c>
      <c r="J361" s="1">
        <f>IF(Data[[#This Row],[Category]]="Savings or Investments", Data[[#This Row],[Actual Expense]],0)</f>
        <v>0</v>
      </c>
      <c r="K361" t="s">
        <v>286</v>
      </c>
    </row>
    <row r="362" spans="1:11" x14ac:dyDescent="0.2">
      <c r="A362" s="5" t="str">
        <f>TEXT(Data[[#This Row],[Date]],"yyyy")</f>
        <v>2021</v>
      </c>
      <c r="B362" s="5" t="str">
        <f>TEXT(Data[[#This Row],[Date]],"mmm")</f>
        <v>Jul</v>
      </c>
      <c r="C362" s="3">
        <v>44378</v>
      </c>
      <c r="D362" t="s">
        <v>308</v>
      </c>
      <c r="E362" t="s">
        <v>31</v>
      </c>
      <c r="F362" t="s">
        <v>30</v>
      </c>
      <c r="G362" s="1">
        <v>28.82</v>
      </c>
      <c r="I362" s="1">
        <f ca="1">IFERROR(OFFSET(Data[[#This Row],[Balance]],-1,0)+Data[[#This Row],[Actual Income]]-Data[[#This Row],[Actual Expense]], Data[[#This Row],[Actual Income]])</f>
        <v>-4047.0874999999951</v>
      </c>
      <c r="J362" s="1">
        <f>IF(Data[[#This Row],[Category]]="Savings or Investments", Data[[#This Row],[Actual Expense]],0)</f>
        <v>0</v>
      </c>
      <c r="K362" t="s">
        <v>286</v>
      </c>
    </row>
    <row r="363" spans="1:11" x14ac:dyDescent="0.2">
      <c r="A363" s="5" t="str">
        <f>TEXT(Data[[#This Row],[Date]],"yyyy")</f>
        <v>2021</v>
      </c>
      <c r="B363" s="5" t="str">
        <f>TEXT(Data[[#This Row],[Date]],"mmm")</f>
        <v>Jul</v>
      </c>
      <c r="C363" s="3">
        <v>44378</v>
      </c>
      <c r="D363" t="s">
        <v>347</v>
      </c>
      <c r="E363" t="s">
        <v>43</v>
      </c>
      <c r="F363" t="s">
        <v>288</v>
      </c>
      <c r="G363" s="1">
        <v>56.58</v>
      </c>
      <c r="I363" s="1">
        <f ca="1">IFERROR(OFFSET(Data[[#This Row],[Balance]],-1,0)+Data[[#This Row],[Actual Income]]-Data[[#This Row],[Actual Expense]], Data[[#This Row],[Actual Income]])</f>
        <v>-4103.667499999995</v>
      </c>
      <c r="J363" s="1">
        <f>IF(Data[[#This Row],[Category]]="Savings or Investments", Data[[#This Row],[Actual Expense]],0)</f>
        <v>0</v>
      </c>
      <c r="K363" t="s">
        <v>286</v>
      </c>
    </row>
    <row r="364" spans="1:11" x14ac:dyDescent="0.2">
      <c r="A364" s="5" t="str">
        <f>TEXT(Data[[#This Row],[Date]],"yyyy")</f>
        <v>2021</v>
      </c>
      <c r="B364" s="5" t="str">
        <f>TEXT(Data[[#This Row],[Date]],"mmm")</f>
        <v>Jul</v>
      </c>
      <c r="C364" s="3">
        <v>44379</v>
      </c>
      <c r="D364" t="s">
        <v>324</v>
      </c>
      <c r="E364" t="s">
        <v>43</v>
      </c>
      <c r="F364" t="s">
        <v>288</v>
      </c>
      <c r="G364" s="1">
        <v>5.4</v>
      </c>
      <c r="I364" s="1">
        <f ca="1">IFERROR(OFFSET(Data[[#This Row],[Balance]],-1,0)+Data[[#This Row],[Actual Income]]-Data[[#This Row],[Actual Expense]], Data[[#This Row],[Actual Income]])</f>
        <v>-4109.0674999999947</v>
      </c>
      <c r="J364" s="1">
        <f>IF(Data[[#This Row],[Category]]="Savings or Investments", Data[[#This Row],[Actual Expense]],0)</f>
        <v>0</v>
      </c>
      <c r="K364" t="s">
        <v>286</v>
      </c>
    </row>
    <row r="365" spans="1:11" x14ac:dyDescent="0.2">
      <c r="A365" s="5" t="str">
        <f>TEXT(Data[[#This Row],[Date]],"yyyy")</f>
        <v>2021</v>
      </c>
      <c r="B365" s="5" t="str">
        <f>TEXT(Data[[#This Row],[Date]],"mmm")</f>
        <v>Jul</v>
      </c>
      <c r="C365" s="3">
        <v>44379</v>
      </c>
      <c r="D365" t="s">
        <v>342</v>
      </c>
      <c r="E365" t="s">
        <v>43</v>
      </c>
      <c r="F365" t="s">
        <v>288</v>
      </c>
      <c r="G365" s="1">
        <v>5.4</v>
      </c>
      <c r="I365" s="1">
        <f ca="1">IFERROR(OFFSET(Data[[#This Row],[Balance]],-1,0)+Data[[#This Row],[Actual Income]]-Data[[#This Row],[Actual Expense]], Data[[#This Row],[Actual Income]])</f>
        <v>-4114.4674999999943</v>
      </c>
      <c r="J365" s="1">
        <f>IF(Data[[#This Row],[Category]]="Savings or Investments", Data[[#This Row],[Actual Expense]],0)</f>
        <v>0</v>
      </c>
      <c r="K365" t="s">
        <v>286</v>
      </c>
    </row>
    <row r="366" spans="1:11" x14ac:dyDescent="0.2">
      <c r="A366" s="5" t="str">
        <f>TEXT(Data[[#This Row],[Date]],"yyyy")</f>
        <v>2021</v>
      </c>
      <c r="B366" s="5" t="str">
        <f>TEXT(Data[[#This Row],[Date]],"mmm")</f>
        <v>Jul</v>
      </c>
      <c r="C366" s="3">
        <v>44379</v>
      </c>
      <c r="D366" t="s">
        <v>346</v>
      </c>
      <c r="E366" t="s">
        <v>43</v>
      </c>
      <c r="F366" t="s">
        <v>288</v>
      </c>
      <c r="G366" s="1">
        <v>50</v>
      </c>
      <c r="I366" s="1">
        <f ca="1">IFERROR(OFFSET(Data[[#This Row],[Balance]],-1,0)+Data[[#This Row],[Actual Income]]-Data[[#This Row],[Actual Expense]], Data[[#This Row],[Actual Income]])</f>
        <v>-4164.4674999999943</v>
      </c>
      <c r="J366" s="1">
        <f>IF(Data[[#This Row],[Category]]="Savings or Investments", Data[[#This Row],[Actual Expense]],0)</f>
        <v>0</v>
      </c>
      <c r="K366" t="s">
        <v>286</v>
      </c>
    </row>
    <row r="367" spans="1:11" x14ac:dyDescent="0.2">
      <c r="A367" s="5" t="str">
        <f>TEXT(Data[[#This Row],[Date]],"yyyy")</f>
        <v>2021</v>
      </c>
      <c r="B367" s="5" t="str">
        <f>TEXT(Data[[#This Row],[Date]],"mmm")</f>
        <v>Jul</v>
      </c>
      <c r="C367" s="3">
        <v>44379</v>
      </c>
      <c r="D367" t="s">
        <v>365</v>
      </c>
      <c r="E367" t="s">
        <v>48</v>
      </c>
      <c r="F367" t="s">
        <v>130</v>
      </c>
      <c r="G367" s="1">
        <v>100</v>
      </c>
      <c r="I367" s="1">
        <f ca="1">IFERROR(OFFSET(Data[[#This Row],[Balance]],-1,0)+Data[[#This Row],[Actual Income]]-Data[[#This Row],[Actual Expense]], Data[[#This Row],[Actual Income]])</f>
        <v>-4264.4674999999943</v>
      </c>
      <c r="J367" s="1">
        <f>IF(Data[[#This Row],[Category]]="Savings or Investments", Data[[#This Row],[Actual Expense]],0)</f>
        <v>100</v>
      </c>
      <c r="K367" t="s">
        <v>349</v>
      </c>
    </row>
    <row r="368" spans="1:11" x14ac:dyDescent="0.2">
      <c r="A368" s="5" t="str">
        <f>TEXT(Data[[#This Row],[Date]],"yyyy")</f>
        <v>2021</v>
      </c>
      <c r="B368" s="5" t="str">
        <f>TEXT(Data[[#This Row],[Date]],"mmm")</f>
        <v>Jul</v>
      </c>
      <c r="C368" s="3">
        <v>44379</v>
      </c>
      <c r="D368" t="s">
        <v>340</v>
      </c>
      <c r="E368" t="s">
        <v>43</v>
      </c>
      <c r="F368" t="s">
        <v>288</v>
      </c>
      <c r="G368" s="1">
        <v>22.05</v>
      </c>
      <c r="I368" s="1">
        <f ca="1">IFERROR(OFFSET(Data[[#This Row],[Balance]],-1,0)+Data[[#This Row],[Actual Income]]-Data[[#This Row],[Actual Expense]], Data[[#This Row],[Actual Income]])</f>
        <v>-4286.5174999999945</v>
      </c>
      <c r="J368" s="1">
        <f>IF(Data[[#This Row],[Category]]="Savings or Investments", Data[[#This Row],[Actual Expense]],0)</f>
        <v>0</v>
      </c>
      <c r="K368" t="s">
        <v>286</v>
      </c>
    </row>
    <row r="369" spans="1:11" x14ac:dyDescent="0.2">
      <c r="A369" s="5" t="str">
        <f>TEXT(Data[[#This Row],[Date]],"yyyy")</f>
        <v>2021</v>
      </c>
      <c r="B369" s="5" t="str">
        <f>TEXT(Data[[#This Row],[Date]],"mmm")</f>
        <v>Jul</v>
      </c>
      <c r="C369" s="3">
        <v>44379</v>
      </c>
      <c r="D369" t="s">
        <v>309</v>
      </c>
      <c r="E369" t="s">
        <v>43</v>
      </c>
      <c r="F369" t="s">
        <v>288</v>
      </c>
      <c r="G369" s="1">
        <v>34.18</v>
      </c>
      <c r="I369" s="1">
        <f ca="1">IFERROR(OFFSET(Data[[#This Row],[Balance]],-1,0)+Data[[#This Row],[Actual Income]]-Data[[#This Row],[Actual Expense]], Data[[#This Row],[Actual Income]])</f>
        <v>-4320.6974999999948</v>
      </c>
      <c r="J369" s="1">
        <f>IF(Data[[#This Row],[Category]]="Savings or Investments", Data[[#This Row],[Actual Expense]],0)</f>
        <v>0</v>
      </c>
    </row>
    <row r="370" spans="1:11" x14ac:dyDescent="0.2">
      <c r="A370" s="5" t="str">
        <f>TEXT(Data[[#This Row],[Date]],"yyyy")</f>
        <v>2021</v>
      </c>
      <c r="B370" s="5" t="str">
        <f>TEXT(Data[[#This Row],[Date]],"mmm")</f>
        <v>Jul</v>
      </c>
      <c r="C370" s="3">
        <v>44379</v>
      </c>
      <c r="D370" t="s">
        <v>336</v>
      </c>
      <c r="E370" t="s">
        <v>43</v>
      </c>
      <c r="F370" t="s">
        <v>288</v>
      </c>
      <c r="G370" s="1">
        <v>40.18</v>
      </c>
      <c r="I370" s="1">
        <f ca="1">IFERROR(OFFSET(Data[[#This Row],[Balance]],-1,0)+Data[[#This Row],[Actual Income]]-Data[[#This Row],[Actual Expense]], Data[[#This Row],[Actual Income]])</f>
        <v>-4360.8774999999951</v>
      </c>
      <c r="J370" s="1">
        <f>IF(Data[[#This Row],[Category]]="Savings or Investments", Data[[#This Row],[Actual Expense]],0)</f>
        <v>0</v>
      </c>
      <c r="K370" t="s">
        <v>286</v>
      </c>
    </row>
    <row r="371" spans="1:11" x14ac:dyDescent="0.2">
      <c r="A371" s="5" t="str">
        <f>TEXT(Data[[#This Row],[Date]],"yyyy")</f>
        <v>2021</v>
      </c>
      <c r="B371" s="5" t="str">
        <f>TEXT(Data[[#This Row],[Date]],"mmm")</f>
        <v>Jul</v>
      </c>
      <c r="C371" s="3">
        <v>44379</v>
      </c>
      <c r="D371" t="s">
        <v>344</v>
      </c>
      <c r="E371" t="s">
        <v>43</v>
      </c>
      <c r="F371" t="s">
        <v>288</v>
      </c>
      <c r="G371" s="1">
        <v>41.76</v>
      </c>
      <c r="I371" s="1">
        <f ca="1">IFERROR(OFFSET(Data[[#This Row],[Balance]],-1,0)+Data[[#This Row],[Actual Income]]-Data[[#This Row],[Actual Expense]], Data[[#This Row],[Actual Income]])</f>
        <v>-4402.6374999999953</v>
      </c>
      <c r="J371" s="1">
        <f>IF(Data[[#This Row],[Category]]="Savings or Investments", Data[[#This Row],[Actual Expense]],0)</f>
        <v>0</v>
      </c>
      <c r="K371" t="s">
        <v>286</v>
      </c>
    </row>
    <row r="372" spans="1:11" x14ac:dyDescent="0.2">
      <c r="A372" s="5" t="str">
        <f>TEXT(Data[[#This Row],[Date]],"yyyy")</f>
        <v>2021</v>
      </c>
      <c r="B372" s="5" t="str">
        <f>TEXT(Data[[#This Row],[Date]],"mmm")</f>
        <v>Jul</v>
      </c>
      <c r="C372" s="3">
        <v>44379</v>
      </c>
      <c r="D372" t="s">
        <v>341</v>
      </c>
      <c r="E372" t="s">
        <v>43</v>
      </c>
      <c r="F372" t="s">
        <v>288</v>
      </c>
      <c r="G372" s="1">
        <v>42.88</v>
      </c>
      <c r="I372" s="1">
        <f ca="1">IFERROR(OFFSET(Data[[#This Row],[Balance]],-1,0)+Data[[#This Row],[Actual Income]]-Data[[#This Row],[Actual Expense]], Data[[#This Row],[Actual Income]])</f>
        <v>-4445.5174999999954</v>
      </c>
      <c r="J372" s="1">
        <f>IF(Data[[#This Row],[Category]]="Savings or Investments", Data[[#This Row],[Actual Expense]],0)</f>
        <v>0</v>
      </c>
      <c r="K372" t="s">
        <v>286</v>
      </c>
    </row>
    <row r="373" spans="1:11" x14ac:dyDescent="0.2">
      <c r="A373" s="5" t="str">
        <f>TEXT(Data[[#This Row],[Date]],"yyyy")</f>
        <v>2021</v>
      </c>
      <c r="B373" s="5" t="str">
        <f>TEXT(Data[[#This Row],[Date]],"mmm")</f>
        <v>Jul</v>
      </c>
      <c r="C373" s="3">
        <v>44379</v>
      </c>
      <c r="D373" t="s">
        <v>367</v>
      </c>
      <c r="E373" t="s">
        <v>81</v>
      </c>
      <c r="F373" t="s">
        <v>174</v>
      </c>
      <c r="G373" s="1"/>
      <c r="H373" s="1">
        <v>1876.04</v>
      </c>
      <c r="I373" s="1">
        <f ca="1">IFERROR(OFFSET(Data[[#This Row],[Balance]],-1,0)+Data[[#This Row],[Actual Income]]-Data[[#This Row],[Actual Expense]], Data[[#This Row],[Actual Income]])</f>
        <v>-2569.4774999999954</v>
      </c>
      <c r="J373" s="1">
        <f>IF(Data[[#This Row],[Category]]="Savings or Investments", Data[[#This Row],[Actual Expense]],0)</f>
        <v>0</v>
      </c>
      <c r="K373" t="s">
        <v>349</v>
      </c>
    </row>
    <row r="374" spans="1:11" x14ac:dyDescent="0.2">
      <c r="A374" s="5" t="str">
        <f>TEXT(Data[[#This Row],[Date]],"yyyy")</f>
        <v>2021</v>
      </c>
      <c r="B374" s="5" t="str">
        <f>TEXT(Data[[#This Row],[Date]],"mmm")</f>
        <v>Jul</v>
      </c>
      <c r="C374" s="3">
        <v>44380</v>
      </c>
      <c r="D374" t="s">
        <v>339</v>
      </c>
      <c r="E374" t="s">
        <v>43</v>
      </c>
      <c r="F374" t="s">
        <v>288</v>
      </c>
      <c r="G374" s="1">
        <v>10.93</v>
      </c>
      <c r="I374" s="1">
        <f ca="1">IFERROR(OFFSET(Data[[#This Row],[Balance]],-1,0)+Data[[#This Row],[Actual Income]]-Data[[#This Row],[Actual Expense]], Data[[#This Row],[Actual Income]])</f>
        <v>-2580.4074999999953</v>
      </c>
      <c r="J374" s="1">
        <f>IF(Data[[#This Row],[Category]]="Savings or Investments", Data[[#This Row],[Actual Expense]],0)</f>
        <v>0</v>
      </c>
      <c r="K374" t="s">
        <v>286</v>
      </c>
    </row>
    <row r="375" spans="1:11" x14ac:dyDescent="0.2">
      <c r="A375" s="5" t="str">
        <f>TEXT(Data[[#This Row],[Date]],"yyyy")</f>
        <v>2021</v>
      </c>
      <c r="B375" s="5" t="str">
        <f>TEXT(Data[[#This Row],[Date]],"mmm")</f>
        <v>Jul</v>
      </c>
      <c r="C375" s="3">
        <v>44380</v>
      </c>
      <c r="D375" t="s">
        <v>345</v>
      </c>
      <c r="E375" t="s">
        <v>43</v>
      </c>
      <c r="F375" t="s">
        <v>288</v>
      </c>
      <c r="G375" s="1">
        <v>35.56</v>
      </c>
      <c r="I375" s="1">
        <f ca="1">IFERROR(OFFSET(Data[[#This Row],[Balance]],-1,0)+Data[[#This Row],[Actual Income]]-Data[[#This Row],[Actual Expense]], Data[[#This Row],[Actual Income]])</f>
        <v>-2615.9674999999952</v>
      </c>
      <c r="J375" s="1">
        <f>IF(Data[[#This Row],[Category]]="Savings or Investments", Data[[#This Row],[Actual Expense]],0)</f>
        <v>0</v>
      </c>
      <c r="K375" t="s">
        <v>286</v>
      </c>
    </row>
    <row r="376" spans="1:11" x14ac:dyDescent="0.2">
      <c r="A376" s="5" t="str">
        <f>TEXT(Data[[#This Row],[Date]],"yyyy")</f>
        <v>2021</v>
      </c>
      <c r="B376" s="5" t="str">
        <f>TEXT(Data[[#This Row],[Date]],"mmm")</f>
        <v>Jul</v>
      </c>
      <c r="C376" s="3">
        <v>44381</v>
      </c>
      <c r="D376" t="s">
        <v>343</v>
      </c>
      <c r="E376" t="s">
        <v>43</v>
      </c>
      <c r="F376" t="s">
        <v>288</v>
      </c>
      <c r="G376" s="1">
        <v>12.3</v>
      </c>
      <c r="I376" s="1">
        <f ca="1">IFERROR(OFFSET(Data[[#This Row],[Balance]],-1,0)+Data[[#This Row],[Actual Income]]-Data[[#This Row],[Actual Expense]], Data[[#This Row],[Actual Income]])</f>
        <v>-2628.2674999999954</v>
      </c>
      <c r="J376" s="1">
        <f>IF(Data[[#This Row],[Category]]="Savings or Investments", Data[[#This Row],[Actual Expense]],0)</f>
        <v>0</v>
      </c>
      <c r="K376" t="s">
        <v>286</v>
      </c>
    </row>
    <row r="377" spans="1:11" x14ac:dyDescent="0.2">
      <c r="A377" s="5" t="str">
        <f>TEXT(Data[[#This Row],[Date]],"yyyy")</f>
        <v>2021</v>
      </c>
      <c r="B377" s="5" t="str">
        <f>TEXT(Data[[#This Row],[Date]],"mmm")</f>
        <v>Jul</v>
      </c>
      <c r="C377" s="3">
        <v>44381</v>
      </c>
      <c r="D377" t="s">
        <v>311</v>
      </c>
      <c r="E377" t="s">
        <v>43</v>
      </c>
      <c r="F377" t="s">
        <v>288</v>
      </c>
      <c r="G377" s="1">
        <v>37.49</v>
      </c>
      <c r="I377" s="1">
        <f ca="1">IFERROR(OFFSET(Data[[#This Row],[Balance]],-1,0)+Data[[#This Row],[Actual Income]]-Data[[#This Row],[Actual Expense]], Data[[#This Row],[Actual Income]])</f>
        <v>-2665.7574999999952</v>
      </c>
      <c r="J377" s="1">
        <f>IF(Data[[#This Row],[Category]]="Savings or Investments", Data[[#This Row],[Actual Expense]],0)</f>
        <v>0</v>
      </c>
      <c r="K377" t="s">
        <v>286</v>
      </c>
    </row>
    <row r="378" spans="1:11" x14ac:dyDescent="0.2">
      <c r="A378" s="5" t="str">
        <f>TEXT(Data[[#This Row],[Date]],"yyyy")</f>
        <v>2021</v>
      </c>
      <c r="B378" s="5" t="str">
        <f>TEXT(Data[[#This Row],[Date]],"mmm")</f>
        <v>Jul</v>
      </c>
      <c r="C378" s="3">
        <v>44381</v>
      </c>
      <c r="D378" t="s">
        <v>332</v>
      </c>
      <c r="E378" t="s">
        <v>43</v>
      </c>
      <c r="F378" t="s">
        <v>288</v>
      </c>
      <c r="G378" s="1">
        <v>38</v>
      </c>
      <c r="I378" s="1">
        <f ca="1">IFERROR(OFFSET(Data[[#This Row],[Balance]],-1,0)+Data[[#This Row],[Actual Income]]-Data[[#This Row],[Actual Expense]], Data[[#This Row],[Actual Income]])</f>
        <v>-2703.7574999999952</v>
      </c>
      <c r="J378" s="1">
        <f>IF(Data[[#This Row],[Category]]="Savings or Investments", Data[[#This Row],[Actual Expense]],0)</f>
        <v>0</v>
      </c>
      <c r="K378" t="s">
        <v>286</v>
      </c>
    </row>
    <row r="379" spans="1:11" x14ac:dyDescent="0.2">
      <c r="A379" s="5" t="str">
        <f>TEXT(Data[[#This Row],[Date]],"yyyy")</f>
        <v>2021</v>
      </c>
      <c r="B379" s="5" t="str">
        <f>TEXT(Data[[#This Row],[Date]],"mmm")</f>
        <v>Jul</v>
      </c>
      <c r="C379" s="3">
        <v>44381</v>
      </c>
      <c r="D379" t="s">
        <v>310</v>
      </c>
      <c r="E379" t="s">
        <v>43</v>
      </c>
      <c r="F379" t="s">
        <v>288</v>
      </c>
      <c r="G379" s="1">
        <v>41.85</v>
      </c>
      <c r="I379" s="1">
        <f ca="1">IFERROR(OFFSET(Data[[#This Row],[Balance]],-1,0)+Data[[#This Row],[Actual Income]]-Data[[#This Row],[Actual Expense]], Data[[#This Row],[Actual Income]])</f>
        <v>-2745.6074999999951</v>
      </c>
      <c r="J379" s="1">
        <f>IF(Data[[#This Row],[Category]]="Savings or Investments", Data[[#This Row],[Actual Expense]],0)</f>
        <v>0</v>
      </c>
      <c r="K379" t="s">
        <v>286</v>
      </c>
    </row>
    <row r="380" spans="1:11" x14ac:dyDescent="0.2">
      <c r="A380" s="5" t="str">
        <f>TEXT(Data[[#This Row],[Date]],"yyyy")</f>
        <v>2021</v>
      </c>
      <c r="B380" s="5" t="str">
        <f>TEXT(Data[[#This Row],[Date]],"mmm")</f>
        <v>Jul</v>
      </c>
      <c r="C380" s="3">
        <v>44381</v>
      </c>
      <c r="D380" t="s">
        <v>333</v>
      </c>
      <c r="E380" t="s">
        <v>43</v>
      </c>
      <c r="F380" t="s">
        <v>288</v>
      </c>
      <c r="G380" s="1">
        <v>43.49</v>
      </c>
      <c r="I380" s="1">
        <f ca="1">IFERROR(OFFSET(Data[[#This Row],[Balance]],-1,0)+Data[[#This Row],[Actual Income]]-Data[[#This Row],[Actual Expense]], Data[[#This Row],[Actual Income]])</f>
        <v>-2789.0974999999949</v>
      </c>
      <c r="J380" s="1">
        <f>IF(Data[[#This Row],[Category]]="Savings or Investments", Data[[#This Row],[Actual Expense]],0)</f>
        <v>0</v>
      </c>
      <c r="K380" t="s">
        <v>286</v>
      </c>
    </row>
    <row r="381" spans="1:11" x14ac:dyDescent="0.2">
      <c r="A381" s="5" t="str">
        <f>TEXT(Data[[#This Row],[Date]],"yyyy")</f>
        <v>2021</v>
      </c>
      <c r="B381" s="5" t="str">
        <f>TEXT(Data[[#This Row],[Date]],"mmm")</f>
        <v>Jul</v>
      </c>
      <c r="C381" s="3">
        <v>44381</v>
      </c>
      <c r="D381" t="s">
        <v>337</v>
      </c>
      <c r="E381" t="s">
        <v>43</v>
      </c>
      <c r="F381" t="s">
        <v>288</v>
      </c>
      <c r="G381" s="1">
        <v>49.85</v>
      </c>
      <c r="I381" s="1">
        <f ca="1">IFERROR(OFFSET(Data[[#This Row],[Balance]],-1,0)+Data[[#This Row],[Actual Income]]-Data[[#This Row],[Actual Expense]], Data[[#This Row],[Actual Income]])</f>
        <v>-2838.9474999999948</v>
      </c>
      <c r="J381" s="1">
        <f>IF(Data[[#This Row],[Category]]="Savings or Investments", Data[[#This Row],[Actual Expense]],0)</f>
        <v>0</v>
      </c>
      <c r="K381" t="s">
        <v>286</v>
      </c>
    </row>
    <row r="382" spans="1:11" x14ac:dyDescent="0.2">
      <c r="A382" s="5" t="str">
        <f>TEXT(Data[[#This Row],[Date]],"yyyy")</f>
        <v>2021</v>
      </c>
      <c r="B382" s="5" t="str">
        <f>TEXT(Data[[#This Row],[Date]],"mmm")</f>
        <v>Jul</v>
      </c>
      <c r="C382" s="3">
        <v>44381</v>
      </c>
      <c r="D382" t="s">
        <v>335</v>
      </c>
      <c r="E382" t="s">
        <v>43</v>
      </c>
      <c r="F382" t="s">
        <v>288</v>
      </c>
      <c r="G382" s="1">
        <v>50.05</v>
      </c>
      <c r="I382" s="1">
        <f ca="1">IFERROR(OFFSET(Data[[#This Row],[Balance]],-1,0)+Data[[#This Row],[Actual Income]]-Data[[#This Row],[Actual Expense]], Data[[#This Row],[Actual Income]])</f>
        <v>-2888.9974999999949</v>
      </c>
      <c r="J382" s="1">
        <f>IF(Data[[#This Row],[Category]]="Savings or Investments", Data[[#This Row],[Actual Expense]],0)</f>
        <v>0</v>
      </c>
      <c r="K382" t="s">
        <v>286</v>
      </c>
    </row>
    <row r="383" spans="1:11" x14ac:dyDescent="0.2">
      <c r="A383" s="5" t="str">
        <f>TEXT(Data[[#This Row],[Date]],"yyyy")</f>
        <v>2021</v>
      </c>
      <c r="B383" s="5" t="str">
        <f>TEXT(Data[[#This Row],[Date]],"mmm")</f>
        <v>Jul</v>
      </c>
      <c r="C383" s="3">
        <v>44381</v>
      </c>
      <c r="D383" t="s">
        <v>334</v>
      </c>
      <c r="E383" t="s">
        <v>43</v>
      </c>
      <c r="F383" t="s">
        <v>288</v>
      </c>
      <c r="G383" s="1">
        <v>119.7</v>
      </c>
      <c r="I383" s="1">
        <f ca="1">IFERROR(OFFSET(Data[[#This Row],[Balance]],-1,0)+Data[[#This Row],[Actual Income]]-Data[[#This Row],[Actual Expense]], Data[[#This Row],[Actual Income]])</f>
        <v>-3008.6974999999948</v>
      </c>
      <c r="J383" s="1">
        <f>IF(Data[[#This Row],[Category]]="Savings or Investments", Data[[#This Row],[Actual Expense]],0)</f>
        <v>0</v>
      </c>
      <c r="K383" t="s">
        <v>286</v>
      </c>
    </row>
    <row r="384" spans="1:11" x14ac:dyDescent="0.2">
      <c r="A384" s="5" t="str">
        <f>TEXT(Data[[#This Row],[Date]],"yyyy")</f>
        <v>2021</v>
      </c>
      <c r="B384" s="5" t="str">
        <f>TEXT(Data[[#This Row],[Date]],"mmm")</f>
        <v>Jul</v>
      </c>
      <c r="C384" s="3">
        <v>44383</v>
      </c>
      <c r="D384" t="s">
        <v>330</v>
      </c>
      <c r="E384" t="s">
        <v>31</v>
      </c>
      <c r="F384" s="24" t="s">
        <v>55</v>
      </c>
      <c r="G384" s="1">
        <v>4.5</v>
      </c>
      <c r="I384" s="1">
        <f ca="1">IFERROR(OFFSET(Data[[#This Row],[Balance]],-1,0)+Data[[#This Row],[Actual Income]]-Data[[#This Row],[Actual Expense]], Data[[#This Row],[Actual Income]])</f>
        <v>-3013.1974999999948</v>
      </c>
      <c r="J384" s="1">
        <f>IF(Data[[#This Row],[Category]]="Savings or Investments", Data[[#This Row],[Actual Expense]],0)</f>
        <v>0</v>
      </c>
      <c r="K384" t="s">
        <v>286</v>
      </c>
    </row>
    <row r="385" spans="1:11" x14ac:dyDescent="0.2">
      <c r="A385" s="5" t="str">
        <f>TEXT(Data[[#This Row],[Date]],"yyyy")</f>
        <v>2021</v>
      </c>
      <c r="B385" s="5" t="str">
        <f>TEXT(Data[[#This Row],[Date]],"mmm")</f>
        <v>Jul</v>
      </c>
      <c r="C385" s="3">
        <v>44383</v>
      </c>
      <c r="D385" t="s">
        <v>331</v>
      </c>
      <c r="E385" t="s">
        <v>31</v>
      </c>
      <c r="F385" t="s">
        <v>30</v>
      </c>
      <c r="G385" s="1">
        <v>42.18</v>
      </c>
      <c r="I385" s="1">
        <f ca="1">IFERROR(OFFSET(Data[[#This Row],[Balance]],-1,0)+Data[[#This Row],[Actual Income]]-Data[[#This Row],[Actual Expense]], Data[[#This Row],[Actual Income]])</f>
        <v>-3055.3774999999946</v>
      </c>
      <c r="J385" s="1">
        <f>IF(Data[[#This Row],[Category]]="Savings or Investments", Data[[#This Row],[Actual Expense]],0)</f>
        <v>0</v>
      </c>
      <c r="K385" t="s">
        <v>286</v>
      </c>
    </row>
    <row r="386" spans="1:11" x14ac:dyDescent="0.2">
      <c r="A386" s="5" t="str">
        <f>TEXT(Data[[#This Row],[Date]],"yyyy")</f>
        <v>2021</v>
      </c>
      <c r="B386" s="5" t="str">
        <f>TEXT(Data[[#This Row],[Date]],"mmm")</f>
        <v>Jul</v>
      </c>
      <c r="C386" s="3">
        <v>44384</v>
      </c>
      <c r="D386" t="s">
        <v>316</v>
      </c>
      <c r="E386" t="s">
        <v>31</v>
      </c>
      <c r="F386" t="s">
        <v>30</v>
      </c>
      <c r="G386" s="1">
        <v>9</v>
      </c>
      <c r="I386" s="1">
        <f ca="1">IFERROR(OFFSET(Data[[#This Row],[Balance]],-1,0)+Data[[#This Row],[Actual Income]]-Data[[#This Row],[Actual Expense]], Data[[#This Row],[Actual Income]])</f>
        <v>-3064.3774999999946</v>
      </c>
      <c r="J386" s="1">
        <f>IF(Data[[#This Row],[Category]]="Savings or Investments", Data[[#This Row],[Actual Expense]],0)</f>
        <v>0</v>
      </c>
      <c r="K386" t="s">
        <v>286</v>
      </c>
    </row>
    <row r="387" spans="1:11" x14ac:dyDescent="0.2">
      <c r="A387" s="5" t="str">
        <f>TEXT(Data[[#This Row],[Date]],"yyyy")</f>
        <v>2021</v>
      </c>
      <c r="B387" s="5" t="str">
        <f>TEXT(Data[[#This Row],[Date]],"mmm")</f>
        <v>Jul</v>
      </c>
      <c r="C387" s="3">
        <v>44384</v>
      </c>
      <c r="D387" t="s">
        <v>364</v>
      </c>
      <c r="E387" t="s">
        <v>48</v>
      </c>
      <c r="F387" t="s">
        <v>70</v>
      </c>
      <c r="G387" s="1">
        <v>200</v>
      </c>
      <c r="I387" s="1">
        <f ca="1">IFERROR(OFFSET(Data[[#This Row],[Balance]],-1,0)+Data[[#This Row],[Actual Income]]-Data[[#This Row],[Actual Expense]], Data[[#This Row],[Actual Income]])</f>
        <v>-3264.3774999999946</v>
      </c>
      <c r="J387" s="1">
        <f>IF(Data[[#This Row],[Category]]="Savings or Investments", Data[[#This Row],[Actual Expense]],0)</f>
        <v>200</v>
      </c>
      <c r="K387" t="s">
        <v>349</v>
      </c>
    </row>
    <row r="388" spans="1:11" x14ac:dyDescent="0.2">
      <c r="A388" s="5" t="str">
        <f>TEXT(Data[[#This Row],[Date]],"yyyy")</f>
        <v>2021</v>
      </c>
      <c r="B388" s="5" t="str">
        <f>TEXT(Data[[#This Row],[Date]],"mmm")</f>
        <v>Jul</v>
      </c>
      <c r="C388" s="3">
        <v>44384</v>
      </c>
      <c r="D388" t="s">
        <v>366</v>
      </c>
      <c r="E388" t="s">
        <v>44</v>
      </c>
      <c r="F388" t="s">
        <v>15</v>
      </c>
      <c r="G388" s="1">
        <v>419.69</v>
      </c>
      <c r="I388" s="1">
        <f ca="1">IFERROR(OFFSET(Data[[#This Row],[Balance]],-1,0)+Data[[#This Row],[Actual Income]]-Data[[#This Row],[Actual Expense]], Data[[#This Row],[Actual Income]])</f>
        <v>-3684.0674999999947</v>
      </c>
      <c r="J388" s="1">
        <f>IF(Data[[#This Row],[Category]]="Savings or Investments", Data[[#This Row],[Actual Expense]],0)</f>
        <v>0</v>
      </c>
      <c r="K388" t="s">
        <v>349</v>
      </c>
    </row>
    <row r="389" spans="1:11" x14ac:dyDescent="0.2">
      <c r="A389" s="5" t="str">
        <f>TEXT(Data[[#This Row],[Date]],"yyyy")</f>
        <v>2021</v>
      </c>
      <c r="B389" s="5" t="str">
        <f>TEXT(Data[[#This Row],[Date]],"mmm")</f>
        <v>Jul</v>
      </c>
      <c r="C389" s="3">
        <v>44384</v>
      </c>
      <c r="D389" t="s">
        <v>365</v>
      </c>
      <c r="E389" t="s">
        <v>48</v>
      </c>
      <c r="F389" t="s">
        <v>130</v>
      </c>
      <c r="G389" s="1">
        <v>5000</v>
      </c>
      <c r="I389" s="1">
        <f ca="1">IFERROR(OFFSET(Data[[#This Row],[Balance]],-1,0)+Data[[#This Row],[Actual Income]]-Data[[#This Row],[Actual Expense]], Data[[#This Row],[Actual Income]])</f>
        <v>-8684.0674999999937</v>
      </c>
      <c r="J389" s="1">
        <f>IF(Data[[#This Row],[Category]]="Savings or Investments", Data[[#This Row],[Actual Expense]],0)</f>
        <v>5000</v>
      </c>
      <c r="K389" t="s">
        <v>349</v>
      </c>
    </row>
    <row r="390" spans="1:11" x14ac:dyDescent="0.2">
      <c r="A390" s="5" t="str">
        <f>TEXT(Data[[#This Row],[Date]],"yyyy")</f>
        <v>2021</v>
      </c>
      <c r="B390" s="5" t="str">
        <f>TEXT(Data[[#This Row],[Date]],"mmm")</f>
        <v>Jul</v>
      </c>
      <c r="C390" s="3">
        <v>44385</v>
      </c>
      <c r="D390" t="s">
        <v>363</v>
      </c>
      <c r="E390" t="s">
        <v>48</v>
      </c>
      <c r="F390" t="s">
        <v>27</v>
      </c>
      <c r="G390" s="1">
        <v>500</v>
      </c>
      <c r="I390" s="1">
        <f ca="1">IFERROR(OFFSET(Data[[#This Row],[Balance]],-1,0)+Data[[#This Row],[Actual Income]]-Data[[#This Row],[Actual Expense]], Data[[#This Row],[Actual Income]])</f>
        <v>-9184.0674999999937</v>
      </c>
      <c r="J390" s="1">
        <f>IF(Data[[#This Row],[Category]]="Savings or Investments", Data[[#This Row],[Actual Expense]],0)</f>
        <v>500</v>
      </c>
      <c r="K390" t="s">
        <v>349</v>
      </c>
    </row>
    <row r="391" spans="1:11" x14ac:dyDescent="0.2">
      <c r="A391" s="5" t="str">
        <f>TEXT(Data[[#This Row],[Date]],"yyyy")</f>
        <v>2021</v>
      </c>
      <c r="B391" s="5" t="str">
        <f>TEXT(Data[[#This Row],[Date]],"mmm")</f>
        <v>Jul</v>
      </c>
      <c r="C391" s="3">
        <v>44385</v>
      </c>
      <c r="D391" t="s">
        <v>329</v>
      </c>
      <c r="E391" t="s">
        <v>53</v>
      </c>
      <c r="F391" t="s">
        <v>259</v>
      </c>
      <c r="G391" s="1">
        <v>99.54</v>
      </c>
      <c r="I391" s="1">
        <f ca="1">IFERROR(OFFSET(Data[[#This Row],[Balance]],-1,0)+Data[[#This Row],[Actual Income]]-Data[[#This Row],[Actual Expense]], Data[[#This Row],[Actual Income]])</f>
        <v>-9283.6074999999946</v>
      </c>
      <c r="J391" s="1">
        <f>IF(Data[[#This Row],[Category]]="Savings or Investments", Data[[#This Row],[Actual Expense]],0)</f>
        <v>0</v>
      </c>
      <c r="K391" t="s">
        <v>286</v>
      </c>
    </row>
    <row r="392" spans="1:11" x14ac:dyDescent="0.2">
      <c r="A392" s="5" t="str">
        <f>TEXT(Data[[#This Row],[Date]],"yyyy")</f>
        <v>2021</v>
      </c>
      <c r="B392" s="5" t="str">
        <f>TEXT(Data[[#This Row],[Date]],"mmm")</f>
        <v>Jul</v>
      </c>
      <c r="C392" s="3">
        <v>44386</v>
      </c>
      <c r="D392" t="s">
        <v>319</v>
      </c>
      <c r="E392" t="s">
        <v>31</v>
      </c>
      <c r="F392" t="s">
        <v>29</v>
      </c>
      <c r="G392" s="1">
        <v>11.94</v>
      </c>
      <c r="I392" s="1">
        <f ca="1">IFERROR(OFFSET(Data[[#This Row],[Balance]],-1,0)+Data[[#This Row],[Actual Income]]-Data[[#This Row],[Actual Expense]], Data[[#This Row],[Actual Income]])</f>
        <v>-9295.5474999999951</v>
      </c>
      <c r="J392" s="1">
        <f>IF(Data[[#This Row],[Category]]="Savings or Investments", Data[[#This Row],[Actual Expense]],0)</f>
        <v>0</v>
      </c>
      <c r="K392" t="s">
        <v>286</v>
      </c>
    </row>
    <row r="393" spans="1:11" x14ac:dyDescent="0.2">
      <c r="A393" s="5" t="str">
        <f>TEXT(Data[[#This Row],[Date]],"yyyy")</f>
        <v>2021</v>
      </c>
      <c r="B393" s="5" t="str">
        <f>TEXT(Data[[#This Row],[Date]],"mmm")</f>
        <v>Jul</v>
      </c>
      <c r="C393" s="3">
        <v>44386</v>
      </c>
      <c r="D393" t="s">
        <v>326</v>
      </c>
      <c r="E393" t="s">
        <v>47</v>
      </c>
      <c r="F393" t="s">
        <v>195</v>
      </c>
      <c r="G393" s="1">
        <v>18.11</v>
      </c>
      <c r="I393" s="1">
        <f ca="1">IFERROR(OFFSET(Data[[#This Row],[Balance]],-1,0)+Data[[#This Row],[Actual Income]]-Data[[#This Row],[Actual Expense]], Data[[#This Row],[Actual Income]])</f>
        <v>-9313.6574999999957</v>
      </c>
      <c r="J393" s="1">
        <f>IF(Data[[#This Row],[Category]]="Savings or Investments", Data[[#This Row],[Actual Expense]],0)</f>
        <v>0</v>
      </c>
      <c r="K393" t="s">
        <v>286</v>
      </c>
    </row>
    <row r="394" spans="1:11" x14ac:dyDescent="0.2">
      <c r="A394" s="5" t="str">
        <f>TEXT(Data[[#This Row],[Date]],"yyyy")</f>
        <v>2021</v>
      </c>
      <c r="B394" s="5" t="str">
        <f>TEXT(Data[[#This Row],[Date]],"mmm")</f>
        <v>Jul</v>
      </c>
      <c r="C394" s="3">
        <v>44386</v>
      </c>
      <c r="D394" t="s">
        <v>327</v>
      </c>
      <c r="E394" t="s">
        <v>31</v>
      </c>
      <c r="F394" t="s">
        <v>30</v>
      </c>
      <c r="G394" s="1">
        <v>24.95</v>
      </c>
      <c r="I394" s="1">
        <f ca="1">IFERROR(OFFSET(Data[[#This Row],[Balance]],-1,0)+Data[[#This Row],[Actual Income]]-Data[[#This Row],[Actual Expense]], Data[[#This Row],[Actual Income]])</f>
        <v>-9338.6074999999964</v>
      </c>
      <c r="J394" s="1">
        <f>IF(Data[[#This Row],[Category]]="Savings or Investments", Data[[#This Row],[Actual Expense]],0)</f>
        <v>0</v>
      </c>
      <c r="K394" t="s">
        <v>286</v>
      </c>
    </row>
    <row r="395" spans="1:11" x14ac:dyDescent="0.2">
      <c r="A395" s="5" t="str">
        <f>TEXT(Data[[#This Row],[Date]],"yyyy")</f>
        <v>2021</v>
      </c>
      <c r="B395" s="5" t="str">
        <f>TEXT(Data[[#This Row],[Date]],"mmm")</f>
        <v>Jul</v>
      </c>
      <c r="C395" s="3">
        <v>44386</v>
      </c>
      <c r="D395" t="s">
        <v>315</v>
      </c>
      <c r="E395" t="s">
        <v>31</v>
      </c>
      <c r="F395" t="s">
        <v>30</v>
      </c>
      <c r="G395" s="1">
        <v>33.58</v>
      </c>
      <c r="I395" s="1">
        <f ca="1">IFERROR(OFFSET(Data[[#This Row],[Balance]],-1,0)+Data[[#This Row],[Actual Income]]-Data[[#This Row],[Actual Expense]], Data[[#This Row],[Actual Income]])</f>
        <v>-9372.1874999999964</v>
      </c>
      <c r="J395" s="1">
        <f>IF(Data[[#This Row],[Category]]="Savings or Investments", Data[[#This Row],[Actual Expense]],0)</f>
        <v>0</v>
      </c>
      <c r="K395" t="s">
        <v>286</v>
      </c>
    </row>
    <row r="396" spans="1:11" x14ac:dyDescent="0.2">
      <c r="A396" s="5" t="str">
        <f>TEXT(Data[[#This Row],[Date]],"yyyy")</f>
        <v>2021</v>
      </c>
      <c r="B396" s="5" t="str">
        <f>TEXT(Data[[#This Row],[Date]],"mmm")</f>
        <v>Jul</v>
      </c>
      <c r="C396" s="3">
        <v>44386</v>
      </c>
      <c r="D396" t="s">
        <v>323</v>
      </c>
      <c r="E396" t="s">
        <v>53</v>
      </c>
      <c r="F396" t="s">
        <v>80</v>
      </c>
      <c r="G396" s="1">
        <v>51.94</v>
      </c>
      <c r="I396" s="1">
        <f ca="1">IFERROR(OFFSET(Data[[#This Row],[Balance]],-1,0)+Data[[#This Row],[Actual Income]]-Data[[#This Row],[Actual Expense]], Data[[#This Row],[Actual Income]])</f>
        <v>-9424.1274999999969</v>
      </c>
      <c r="J396" s="1">
        <f>IF(Data[[#This Row],[Category]]="Savings or Investments", Data[[#This Row],[Actual Expense]],0)</f>
        <v>0</v>
      </c>
      <c r="K396" t="s">
        <v>286</v>
      </c>
    </row>
    <row r="397" spans="1:11" x14ac:dyDescent="0.2">
      <c r="A397" s="5" t="str">
        <f>TEXT(Data[[#This Row],[Date]],"yyyy")</f>
        <v>2021</v>
      </c>
      <c r="B397" s="5" t="str">
        <f>TEXT(Data[[#This Row],[Date]],"mmm")</f>
        <v>Jul</v>
      </c>
      <c r="C397" s="3">
        <v>44386</v>
      </c>
      <c r="D397" t="s">
        <v>328</v>
      </c>
      <c r="E397" t="s">
        <v>51</v>
      </c>
      <c r="F397" t="s">
        <v>388</v>
      </c>
      <c r="G397" s="1">
        <v>630</v>
      </c>
      <c r="I397" s="1">
        <f ca="1">IFERROR(OFFSET(Data[[#This Row],[Balance]],-1,0)+Data[[#This Row],[Actual Income]]-Data[[#This Row],[Actual Expense]], Data[[#This Row],[Actual Income]])</f>
        <v>-10054.127499999997</v>
      </c>
      <c r="J397" s="1">
        <f>IF(Data[[#This Row],[Category]]="Savings or Investments", Data[[#This Row],[Actual Expense]],0)</f>
        <v>0</v>
      </c>
      <c r="K397" t="s">
        <v>286</v>
      </c>
    </row>
    <row r="398" spans="1:11" x14ac:dyDescent="0.2">
      <c r="A398" s="69" t="str">
        <f>TEXT(Data[[#This Row],[Date]],"yyyy")</f>
        <v>2021</v>
      </c>
      <c r="B398" s="69" t="str">
        <f>TEXT(Data[[#This Row],[Date]],"mmm")</f>
        <v>Jul</v>
      </c>
      <c r="C398" s="70">
        <v>44387</v>
      </c>
      <c r="D398" s="71" t="s">
        <v>324</v>
      </c>
      <c r="E398" s="71" t="s">
        <v>31</v>
      </c>
      <c r="F398" s="71" t="s">
        <v>29</v>
      </c>
      <c r="G398" s="72">
        <v>-34.479999999999997</v>
      </c>
      <c r="H398" s="71"/>
      <c r="I398" s="72">
        <f ca="1">IFERROR(OFFSET(Data[[#This Row],[Balance]],-1,0)+Data[[#This Row],[Actual Income]]-Data[[#This Row],[Actual Expense]], Data[[#This Row],[Actual Income]])</f>
        <v>-10019.647499999997</v>
      </c>
      <c r="J398" s="1">
        <f>IF(Data[[#This Row],[Category]]="Savings or Investments", Data[[#This Row],[Actual Expense]],0)</f>
        <v>0</v>
      </c>
      <c r="K398" s="71" t="s">
        <v>286</v>
      </c>
    </row>
    <row r="399" spans="1:11" x14ac:dyDescent="0.2">
      <c r="A399" s="5" t="str">
        <f>TEXT(Data[[#This Row],[Date]],"yyyy")</f>
        <v>2021</v>
      </c>
      <c r="B399" s="5" t="str">
        <f>TEXT(Data[[#This Row],[Date]],"mmm")</f>
        <v>Jul</v>
      </c>
      <c r="C399" s="3">
        <v>44387</v>
      </c>
      <c r="D399" t="s">
        <v>322</v>
      </c>
      <c r="E399" t="s">
        <v>31</v>
      </c>
      <c r="F399" t="s">
        <v>30</v>
      </c>
      <c r="G399" s="1">
        <v>28.34</v>
      </c>
      <c r="I399" s="1">
        <f ca="1">IFERROR(OFFSET(Data[[#This Row],[Balance]],-1,0)+Data[[#This Row],[Actual Income]]-Data[[#This Row],[Actual Expense]], Data[[#This Row],[Actual Income]])</f>
        <v>-10047.987499999997</v>
      </c>
      <c r="J399" s="1">
        <f>IF(Data[[#This Row],[Category]]="Savings or Investments", Data[[#This Row],[Actual Expense]],0)</f>
        <v>0</v>
      </c>
      <c r="K399" t="s">
        <v>286</v>
      </c>
    </row>
    <row r="400" spans="1:11" x14ac:dyDescent="0.2">
      <c r="A400" s="5" t="str">
        <f>TEXT(Data[[#This Row],[Date]],"yyyy")</f>
        <v>2021</v>
      </c>
      <c r="B400" s="5" t="str">
        <f>TEXT(Data[[#This Row],[Date]],"mmm")</f>
        <v>Jul</v>
      </c>
      <c r="C400" s="3">
        <v>44387</v>
      </c>
      <c r="D400" t="s">
        <v>325</v>
      </c>
      <c r="E400" t="s">
        <v>31</v>
      </c>
      <c r="F400" t="s">
        <v>29</v>
      </c>
      <c r="G400" s="1">
        <v>59.72</v>
      </c>
      <c r="I400" s="1">
        <f ca="1">IFERROR(OFFSET(Data[[#This Row],[Balance]],-1,0)+Data[[#This Row],[Actual Income]]-Data[[#This Row],[Actual Expense]], Data[[#This Row],[Actual Income]])</f>
        <v>-10107.707499999997</v>
      </c>
      <c r="J400" s="1">
        <f>IF(Data[[#This Row],[Category]]="Savings or Investments", Data[[#This Row],[Actual Expense]],0)</f>
        <v>0</v>
      </c>
      <c r="K400" t="s">
        <v>286</v>
      </c>
    </row>
    <row r="401" spans="1:11" x14ac:dyDescent="0.2">
      <c r="A401" s="5" t="str">
        <f>TEXT(Data[[#This Row],[Date]],"yyyy")</f>
        <v>2021</v>
      </c>
      <c r="B401" s="5" t="str">
        <f>TEXT(Data[[#This Row],[Date]],"mmm")</f>
        <v>Jul</v>
      </c>
      <c r="C401" s="3">
        <v>44388</v>
      </c>
      <c r="D401" t="s">
        <v>314</v>
      </c>
      <c r="E401" t="s">
        <v>44</v>
      </c>
      <c r="F401" t="s">
        <v>19</v>
      </c>
      <c r="G401" s="1">
        <v>30.13</v>
      </c>
      <c r="I401" s="1">
        <f ca="1">IFERROR(OFFSET(Data[[#This Row],[Balance]],-1,0)+Data[[#This Row],[Actual Income]]-Data[[#This Row],[Actual Expense]], Data[[#This Row],[Actual Income]])</f>
        <v>-10137.837499999996</v>
      </c>
      <c r="J401" s="1">
        <f>IF(Data[[#This Row],[Category]]="Savings or Investments", Data[[#This Row],[Actual Expense]],0)</f>
        <v>0</v>
      </c>
      <c r="K401" t="s">
        <v>286</v>
      </c>
    </row>
    <row r="402" spans="1:11" x14ac:dyDescent="0.2">
      <c r="A402" s="5" t="str">
        <f>TEXT(Data[[#This Row],[Date]],"yyyy")</f>
        <v>2021</v>
      </c>
      <c r="B402" s="5" t="str">
        <f>TEXT(Data[[#This Row],[Date]],"mmm")</f>
        <v>Jul</v>
      </c>
      <c r="C402" s="3">
        <v>44389</v>
      </c>
      <c r="D402" t="s">
        <v>362</v>
      </c>
      <c r="E402" t="s">
        <v>11</v>
      </c>
      <c r="F402" t="s">
        <v>372</v>
      </c>
      <c r="G402" s="1">
        <v>50</v>
      </c>
      <c r="I402" s="1">
        <f ca="1">IFERROR(OFFSET(Data[[#This Row],[Balance]],-1,0)+Data[[#This Row],[Actual Income]]-Data[[#This Row],[Actual Expense]], Data[[#This Row],[Actual Income]])</f>
        <v>-10187.837499999996</v>
      </c>
      <c r="J402" s="1">
        <f>IF(Data[[#This Row],[Category]]="Savings or Investments", Data[[#This Row],[Actual Expense]],0)</f>
        <v>0</v>
      </c>
      <c r="K402" t="s">
        <v>349</v>
      </c>
    </row>
    <row r="403" spans="1:11" x14ac:dyDescent="0.2">
      <c r="A403" s="5" t="str">
        <f>TEXT(Data[[#This Row],[Date]],"yyyy")</f>
        <v>2021</v>
      </c>
      <c r="B403" s="5" t="str">
        <f>TEXT(Data[[#This Row],[Date]],"mmm")</f>
        <v>Jul</v>
      </c>
      <c r="C403" s="3">
        <v>44389</v>
      </c>
      <c r="D403" t="s">
        <v>360</v>
      </c>
      <c r="E403" t="s">
        <v>31</v>
      </c>
      <c r="F403" t="s">
        <v>29</v>
      </c>
      <c r="G403" s="1">
        <v>7.57</v>
      </c>
      <c r="I403" s="1">
        <f ca="1">IFERROR(OFFSET(Data[[#This Row],[Balance]],-1,0)+Data[[#This Row],[Actual Income]]-Data[[#This Row],[Actual Expense]], Data[[#This Row],[Actual Income]])</f>
        <v>-10195.407499999996</v>
      </c>
      <c r="J403" s="1">
        <f>IF(Data[[#This Row],[Category]]="Savings or Investments", Data[[#This Row],[Actual Expense]],0)</f>
        <v>0</v>
      </c>
      <c r="K403" t="s">
        <v>349</v>
      </c>
    </row>
    <row r="404" spans="1:11" x14ac:dyDescent="0.2">
      <c r="A404" s="5" t="str">
        <f>TEXT(Data[[#This Row],[Date]],"yyyy")</f>
        <v>2021</v>
      </c>
      <c r="B404" s="5" t="str">
        <f>TEXT(Data[[#This Row],[Date]],"mmm")</f>
        <v>Jul</v>
      </c>
      <c r="C404" s="3">
        <v>44389</v>
      </c>
      <c r="D404" t="s">
        <v>359</v>
      </c>
      <c r="E404" t="s">
        <v>31</v>
      </c>
      <c r="F404" t="s">
        <v>29</v>
      </c>
      <c r="G404" s="1">
        <v>11.9</v>
      </c>
      <c r="I404" s="1">
        <f ca="1">IFERROR(OFFSET(Data[[#This Row],[Balance]],-1,0)+Data[[#This Row],[Actual Income]]-Data[[#This Row],[Actual Expense]], Data[[#This Row],[Actual Income]])</f>
        <v>-10207.307499999995</v>
      </c>
      <c r="J404" s="1">
        <f>IF(Data[[#This Row],[Category]]="Savings or Investments", Data[[#This Row],[Actual Expense]],0)</f>
        <v>0</v>
      </c>
      <c r="K404" t="s">
        <v>349</v>
      </c>
    </row>
    <row r="405" spans="1:11" x14ac:dyDescent="0.2">
      <c r="A405" s="5" t="str">
        <f>TEXT(Data[[#This Row],[Date]],"yyyy")</f>
        <v>2021</v>
      </c>
      <c r="B405" s="5" t="str">
        <f>TEXT(Data[[#This Row],[Date]],"mmm")</f>
        <v>Jul</v>
      </c>
      <c r="C405" s="3">
        <v>44389</v>
      </c>
      <c r="D405" t="s">
        <v>361</v>
      </c>
      <c r="E405" t="s">
        <v>31</v>
      </c>
      <c r="F405" t="s">
        <v>29</v>
      </c>
      <c r="G405" s="1">
        <v>18.02</v>
      </c>
      <c r="I405" s="1">
        <f ca="1">IFERROR(OFFSET(Data[[#This Row],[Balance]],-1,0)+Data[[#This Row],[Actual Income]]-Data[[#This Row],[Actual Expense]], Data[[#This Row],[Actual Income]])</f>
        <v>-10225.327499999996</v>
      </c>
      <c r="J405" s="1">
        <f>IF(Data[[#This Row],[Category]]="Savings or Investments", Data[[#This Row],[Actual Expense]],0)</f>
        <v>0</v>
      </c>
      <c r="K405" t="s">
        <v>349</v>
      </c>
    </row>
    <row r="406" spans="1:11" x14ac:dyDescent="0.2">
      <c r="A406" s="5" t="str">
        <f>TEXT(Data[[#This Row],[Date]],"yyyy")</f>
        <v>2021</v>
      </c>
      <c r="B406" s="5" t="str">
        <f>TEXT(Data[[#This Row],[Date]],"mmm")</f>
        <v>Jul</v>
      </c>
      <c r="C406" s="3">
        <v>44390</v>
      </c>
      <c r="D406" t="s">
        <v>358</v>
      </c>
      <c r="E406" t="s">
        <v>31</v>
      </c>
      <c r="F406" t="s">
        <v>55</v>
      </c>
      <c r="G406" s="1">
        <v>12.45</v>
      </c>
      <c r="I406" s="1">
        <f ca="1">IFERROR(OFFSET(Data[[#This Row],[Balance]],-1,0)+Data[[#This Row],[Actual Income]]-Data[[#This Row],[Actual Expense]], Data[[#This Row],[Actual Income]])</f>
        <v>-10237.777499999997</v>
      </c>
      <c r="J406" s="1">
        <f>IF(Data[[#This Row],[Category]]="Savings or Investments", Data[[#This Row],[Actual Expense]],0)</f>
        <v>0</v>
      </c>
      <c r="K406" t="s">
        <v>349</v>
      </c>
    </row>
    <row r="407" spans="1:11" x14ac:dyDescent="0.2">
      <c r="A407" s="5" t="str">
        <f>TEXT(Data[[#This Row],[Date]],"yyyy")</f>
        <v>2021</v>
      </c>
      <c r="B407" s="5" t="str">
        <f>TEXT(Data[[#This Row],[Date]],"mmm")</f>
        <v>Jul</v>
      </c>
      <c r="C407" s="3">
        <v>44390</v>
      </c>
      <c r="D407" t="s">
        <v>385</v>
      </c>
      <c r="E407" t="s">
        <v>31</v>
      </c>
      <c r="F407" t="s">
        <v>30</v>
      </c>
      <c r="G407" s="1">
        <v>92.98</v>
      </c>
      <c r="I407" s="1">
        <f ca="1">IFERROR(OFFSET(Data[[#This Row],[Balance]],-1,0)+Data[[#This Row],[Actual Income]]-Data[[#This Row],[Actual Expense]], Data[[#This Row],[Actual Income]])</f>
        <v>-10330.757499999996</v>
      </c>
      <c r="J407" s="1">
        <f>IF(Data[[#This Row],[Category]]="Savings or Investments", Data[[#This Row],[Actual Expense]],0)</f>
        <v>0</v>
      </c>
      <c r="K407" t="s">
        <v>387</v>
      </c>
    </row>
    <row r="408" spans="1:11" x14ac:dyDescent="0.2">
      <c r="A408" s="5" t="str">
        <f>TEXT(Data[[#This Row],[Date]],"yyyy")</f>
        <v>2021</v>
      </c>
      <c r="B408" s="5" t="str">
        <f>TEXT(Data[[#This Row],[Date]],"mmm")</f>
        <v>Jul</v>
      </c>
      <c r="C408" s="3">
        <v>44391</v>
      </c>
      <c r="D408" t="s">
        <v>357</v>
      </c>
      <c r="E408" t="s">
        <v>48</v>
      </c>
      <c r="F408" t="s">
        <v>70</v>
      </c>
      <c r="G408" s="1">
        <v>200</v>
      </c>
      <c r="I408" s="1">
        <f ca="1">IFERROR(OFFSET(Data[[#This Row],[Balance]],-1,0)+Data[[#This Row],[Actual Income]]-Data[[#This Row],[Actual Expense]], Data[[#This Row],[Actual Income]])</f>
        <v>-10530.757499999996</v>
      </c>
      <c r="J408" s="1">
        <f>IF(Data[[#This Row],[Category]]="Savings or Investments", Data[[#This Row],[Actual Expense]],0)</f>
        <v>200</v>
      </c>
      <c r="K408" t="s">
        <v>349</v>
      </c>
    </row>
    <row r="409" spans="1:11" x14ac:dyDescent="0.2">
      <c r="A409" s="5" t="str">
        <f>TEXT(Data[[#This Row],[Date]],"yyyy")</f>
        <v>2021</v>
      </c>
      <c r="B409" s="5" t="str">
        <f>TEXT(Data[[#This Row],[Date]],"mmm")</f>
        <v>Jul</v>
      </c>
      <c r="C409" s="3">
        <v>44391</v>
      </c>
      <c r="D409" t="s">
        <v>321</v>
      </c>
      <c r="E409" t="s">
        <v>53</v>
      </c>
      <c r="F409" t="s">
        <v>259</v>
      </c>
      <c r="G409" s="1">
        <v>56.26</v>
      </c>
      <c r="I409" s="1">
        <f ca="1">IFERROR(OFFSET(Data[[#This Row],[Balance]],-1,0)+Data[[#This Row],[Actual Income]]-Data[[#This Row],[Actual Expense]], Data[[#This Row],[Actual Income]])</f>
        <v>-10587.017499999996</v>
      </c>
      <c r="J409" s="1">
        <f>IF(Data[[#This Row],[Category]]="Savings or Investments", Data[[#This Row],[Actual Expense]],0)</f>
        <v>0</v>
      </c>
      <c r="K409" t="s">
        <v>286</v>
      </c>
    </row>
    <row r="410" spans="1:11" x14ac:dyDescent="0.2">
      <c r="A410" s="5" t="str">
        <f>TEXT(Data[[#This Row],[Date]],"yyyy")</f>
        <v>2021</v>
      </c>
      <c r="B410" s="5" t="str">
        <f>TEXT(Data[[#This Row],[Date]],"mmm")</f>
        <v>Jul</v>
      </c>
      <c r="C410" s="3">
        <v>44391</v>
      </c>
      <c r="D410" t="s">
        <v>382</v>
      </c>
      <c r="E410" t="s">
        <v>43</v>
      </c>
      <c r="F410" t="s">
        <v>386</v>
      </c>
      <c r="G410" s="1">
        <v>3.24</v>
      </c>
      <c r="I410" s="1">
        <f ca="1">IFERROR(OFFSET(Data[[#This Row],[Balance]],-1,0)+Data[[#This Row],[Actual Income]]-Data[[#This Row],[Actual Expense]], Data[[#This Row],[Actual Income]])</f>
        <v>-10590.257499999996</v>
      </c>
      <c r="J410" s="1">
        <f>IF(Data[[#This Row],[Category]]="Savings or Investments", Data[[#This Row],[Actual Expense]],0)</f>
        <v>0</v>
      </c>
      <c r="K410" t="s">
        <v>387</v>
      </c>
    </row>
    <row r="411" spans="1:11" x14ac:dyDescent="0.2">
      <c r="A411" s="5" t="str">
        <f>TEXT(Data[[#This Row],[Date]],"yyyy")</f>
        <v>2021</v>
      </c>
      <c r="B411" s="5" t="str">
        <f>TEXT(Data[[#This Row],[Date]],"mmm")</f>
        <v>Jul</v>
      </c>
      <c r="C411" s="3">
        <v>44391</v>
      </c>
      <c r="D411" t="s">
        <v>382</v>
      </c>
      <c r="E411" t="s">
        <v>43</v>
      </c>
      <c r="F411" t="s">
        <v>386</v>
      </c>
      <c r="G411" s="1">
        <v>3.24</v>
      </c>
      <c r="I411" s="1">
        <f ca="1">IFERROR(OFFSET(Data[[#This Row],[Balance]],-1,0)+Data[[#This Row],[Actual Income]]-Data[[#This Row],[Actual Expense]], Data[[#This Row],[Actual Income]])</f>
        <v>-10593.497499999996</v>
      </c>
      <c r="J411" s="1">
        <f>IF(Data[[#This Row],[Category]]="Savings or Investments", Data[[#This Row],[Actual Expense]],0)</f>
        <v>0</v>
      </c>
      <c r="K411" t="s">
        <v>387</v>
      </c>
    </row>
    <row r="412" spans="1:11" x14ac:dyDescent="0.2">
      <c r="A412" s="5" t="str">
        <f>TEXT(Data[[#This Row],[Date]],"yyyy")</f>
        <v>2021</v>
      </c>
      <c r="B412" s="5" t="str">
        <f>TEXT(Data[[#This Row],[Date]],"mmm")</f>
        <v>Jul</v>
      </c>
      <c r="C412" s="3">
        <v>44391</v>
      </c>
      <c r="D412" t="s">
        <v>383</v>
      </c>
      <c r="E412" t="s">
        <v>31</v>
      </c>
      <c r="F412" t="s">
        <v>30</v>
      </c>
      <c r="G412" s="1">
        <v>8.1199999999999992</v>
      </c>
      <c r="I412" s="1">
        <f ca="1">IFERROR(OFFSET(Data[[#This Row],[Balance]],-1,0)+Data[[#This Row],[Actual Income]]-Data[[#This Row],[Actual Expense]], Data[[#This Row],[Actual Income]])</f>
        <v>-10601.617499999997</v>
      </c>
      <c r="J412" s="1">
        <f>IF(Data[[#This Row],[Category]]="Savings or Investments", Data[[#This Row],[Actual Expense]],0)</f>
        <v>0</v>
      </c>
      <c r="K412" t="s">
        <v>387</v>
      </c>
    </row>
    <row r="413" spans="1:11" x14ac:dyDescent="0.2">
      <c r="A413" s="5" t="str">
        <f>TEXT(Data[[#This Row],[Date]],"yyyy")</f>
        <v>2021</v>
      </c>
      <c r="B413" s="5" t="str">
        <f>TEXT(Data[[#This Row],[Date]],"mmm")</f>
        <v>Jul</v>
      </c>
      <c r="C413" s="3">
        <v>44391</v>
      </c>
      <c r="D413" t="s">
        <v>384</v>
      </c>
      <c r="E413" t="s">
        <v>31</v>
      </c>
      <c r="F413" t="s">
        <v>55</v>
      </c>
      <c r="G413" s="1">
        <v>4.84</v>
      </c>
      <c r="I413" s="1">
        <f ca="1">IFERROR(OFFSET(Data[[#This Row],[Balance]],-1,0)+Data[[#This Row],[Actual Income]]-Data[[#This Row],[Actual Expense]], Data[[#This Row],[Actual Income]])</f>
        <v>-10606.457499999997</v>
      </c>
      <c r="J413" s="1">
        <f>IF(Data[[#This Row],[Category]]="Savings or Investments", Data[[#This Row],[Actual Expense]],0)</f>
        <v>0</v>
      </c>
      <c r="K413" t="s">
        <v>387</v>
      </c>
    </row>
    <row r="414" spans="1:11" x14ac:dyDescent="0.2">
      <c r="A414" s="5" t="str">
        <f>TEXT(Data[[#This Row],[Date]],"yyyy")</f>
        <v>2021</v>
      </c>
      <c r="B414" s="5" t="str">
        <f>TEXT(Data[[#This Row],[Date]],"mmm")</f>
        <v>Jul</v>
      </c>
      <c r="C414" s="3">
        <v>44393</v>
      </c>
      <c r="D414" t="s">
        <v>356</v>
      </c>
      <c r="E414" t="s">
        <v>81</v>
      </c>
      <c r="F414" t="s">
        <v>371</v>
      </c>
      <c r="G414" s="1"/>
      <c r="H414" s="1">
        <v>1876.04</v>
      </c>
      <c r="I414" s="1">
        <f ca="1">IFERROR(OFFSET(Data[[#This Row],[Balance]],-1,0)+Data[[#This Row],[Actual Income]]-Data[[#This Row],[Actual Expense]], Data[[#This Row],[Actual Income]])</f>
        <v>-8730.4174999999959</v>
      </c>
      <c r="J414" s="1">
        <f>IF(Data[[#This Row],[Category]]="Savings or Investments", Data[[#This Row],[Actual Expense]],0)</f>
        <v>0</v>
      </c>
      <c r="K414" t="s">
        <v>349</v>
      </c>
    </row>
    <row r="415" spans="1:11" x14ac:dyDescent="0.2">
      <c r="A415" s="5" t="str">
        <f>TEXT(Data[[#This Row],[Date]],"yyyy")</f>
        <v>2021</v>
      </c>
      <c r="B415" s="5" t="str">
        <f>TEXT(Data[[#This Row],[Date]],"mmm")</f>
        <v>Jul</v>
      </c>
      <c r="C415" s="3">
        <v>44394</v>
      </c>
      <c r="D415" t="s">
        <v>378</v>
      </c>
      <c r="E415" t="s">
        <v>31</v>
      </c>
      <c r="F415" t="s">
        <v>55</v>
      </c>
      <c r="G415" s="1">
        <v>9.48</v>
      </c>
      <c r="I415" s="1">
        <f ca="1">IFERROR(OFFSET(Data[[#This Row],[Balance]],-1,0)+Data[[#This Row],[Actual Income]]-Data[[#This Row],[Actual Expense]], Data[[#This Row],[Actual Income]])</f>
        <v>-8739.8974999999955</v>
      </c>
      <c r="J415" s="1">
        <f>IF(Data[[#This Row],[Category]]="Savings or Investments", Data[[#This Row],[Actual Expense]],0)</f>
        <v>0</v>
      </c>
      <c r="K415" t="s">
        <v>387</v>
      </c>
    </row>
    <row r="416" spans="1:11" x14ac:dyDescent="0.2">
      <c r="A416" s="5" t="str">
        <f>TEXT(Data[[#This Row],[Date]],"yyyy")</f>
        <v>2021</v>
      </c>
      <c r="B416" s="5" t="str">
        <f>TEXT(Data[[#This Row],[Date]],"mmm")</f>
        <v>Jul</v>
      </c>
      <c r="C416" s="3">
        <v>44394</v>
      </c>
      <c r="D416" t="s">
        <v>381</v>
      </c>
      <c r="E416" t="s">
        <v>31</v>
      </c>
      <c r="F416" t="s">
        <v>30</v>
      </c>
      <c r="G416" s="1">
        <v>6.75</v>
      </c>
      <c r="I416" s="1">
        <f ca="1">IFERROR(OFFSET(Data[[#This Row],[Balance]],-1,0)+Data[[#This Row],[Actual Income]]-Data[[#This Row],[Actual Expense]], Data[[#This Row],[Actual Income]])</f>
        <v>-8746.6474999999955</v>
      </c>
      <c r="J416" s="1">
        <f>IF(Data[[#This Row],[Category]]="Savings or Investments", Data[[#This Row],[Actual Expense]],0)</f>
        <v>0</v>
      </c>
      <c r="K416" t="s">
        <v>387</v>
      </c>
    </row>
    <row r="417" spans="1:11" x14ac:dyDescent="0.2">
      <c r="A417" s="5" t="str">
        <f>TEXT(Data[[#This Row],[Date]],"yyyy")</f>
        <v>2021</v>
      </c>
      <c r="B417" s="5" t="str">
        <f>TEXT(Data[[#This Row],[Date]],"mmm")</f>
        <v>Jul</v>
      </c>
      <c r="C417" s="3">
        <v>44395</v>
      </c>
      <c r="D417" t="s">
        <v>378</v>
      </c>
      <c r="E417" t="s">
        <v>31</v>
      </c>
      <c r="F417" t="s">
        <v>30</v>
      </c>
      <c r="G417" s="1">
        <v>10.35</v>
      </c>
      <c r="I417" s="1">
        <f ca="1">IFERROR(OFFSET(Data[[#This Row],[Balance]],-1,0)+Data[[#This Row],[Actual Income]]-Data[[#This Row],[Actual Expense]], Data[[#This Row],[Actual Income]])</f>
        <v>-8756.9974999999959</v>
      </c>
      <c r="J417" s="1">
        <f>IF(Data[[#This Row],[Category]]="Savings or Investments", Data[[#This Row],[Actual Expense]],0)</f>
        <v>0</v>
      </c>
      <c r="K417" t="s">
        <v>387</v>
      </c>
    </row>
    <row r="418" spans="1:11" x14ac:dyDescent="0.2">
      <c r="A418" s="5" t="str">
        <f>TEXT(Data[[#This Row],[Date]],"yyyy")</f>
        <v>2021</v>
      </c>
      <c r="B418" s="5" t="str">
        <f>TEXT(Data[[#This Row],[Date]],"mmm")</f>
        <v>Jul</v>
      </c>
      <c r="C418" s="3">
        <v>44395</v>
      </c>
      <c r="D418" t="s">
        <v>379</v>
      </c>
      <c r="E418" t="s">
        <v>49</v>
      </c>
      <c r="F418" t="s">
        <v>154</v>
      </c>
      <c r="G418" s="1">
        <v>178.29</v>
      </c>
      <c r="I418" s="1">
        <f ca="1">IFERROR(OFFSET(Data[[#This Row],[Balance]],-1,0)+Data[[#This Row],[Actual Income]]-Data[[#This Row],[Actual Expense]], Data[[#This Row],[Actual Income]])</f>
        <v>-8935.2874999999967</v>
      </c>
      <c r="J418" s="1">
        <f>IF(Data[[#This Row],[Category]]="Savings or Investments", Data[[#This Row],[Actual Expense]],0)</f>
        <v>0</v>
      </c>
      <c r="K418" t="s">
        <v>387</v>
      </c>
    </row>
    <row r="419" spans="1:11" x14ac:dyDescent="0.2">
      <c r="A419" s="5" t="str">
        <f>TEXT(Data[[#This Row],[Date]],"yyyy")</f>
        <v>2021</v>
      </c>
      <c r="B419" s="5" t="str">
        <f>TEXT(Data[[#This Row],[Date]],"mmm")</f>
        <v>Jul</v>
      </c>
      <c r="C419" s="3">
        <v>44395</v>
      </c>
      <c r="D419" t="s">
        <v>380</v>
      </c>
      <c r="E419" t="s">
        <v>44</v>
      </c>
      <c r="F419" t="s">
        <v>19</v>
      </c>
      <c r="G419" s="1">
        <v>35.03</v>
      </c>
      <c r="I419" s="1">
        <f ca="1">IFERROR(OFFSET(Data[[#This Row],[Balance]],-1,0)+Data[[#This Row],[Actual Income]]-Data[[#This Row],[Actual Expense]], Data[[#This Row],[Actual Income]])</f>
        <v>-8970.3174999999974</v>
      </c>
      <c r="J419" s="1">
        <f>IF(Data[[#This Row],[Category]]="Savings or Investments", Data[[#This Row],[Actual Expense]],0)</f>
        <v>0</v>
      </c>
      <c r="K419" t="s">
        <v>387</v>
      </c>
    </row>
    <row r="420" spans="1:11" x14ac:dyDescent="0.2">
      <c r="A420" s="5" t="str">
        <f>TEXT(Data[[#This Row],[Date]],"yyyy")</f>
        <v>2021</v>
      </c>
      <c r="B420" s="5" t="str">
        <f>TEXT(Data[[#This Row],[Date]],"mmm")</f>
        <v>Jul</v>
      </c>
      <c r="C420" s="3">
        <v>44396</v>
      </c>
      <c r="D420" t="s">
        <v>355</v>
      </c>
      <c r="E420" t="s">
        <v>31</v>
      </c>
      <c r="F420" t="s">
        <v>55</v>
      </c>
      <c r="G420" s="1">
        <v>11.61</v>
      </c>
      <c r="I420" s="1">
        <f ca="1">IFERROR(OFFSET(Data[[#This Row],[Balance]],-1,0)+Data[[#This Row],[Actual Income]]-Data[[#This Row],[Actual Expense]], Data[[#This Row],[Actual Income]])</f>
        <v>-8981.927499999998</v>
      </c>
      <c r="J420" s="1">
        <f>IF(Data[[#This Row],[Category]]="Savings or Investments", Data[[#This Row],[Actual Expense]],0)</f>
        <v>0</v>
      </c>
      <c r="K420" t="s">
        <v>349</v>
      </c>
    </row>
    <row r="421" spans="1:11" x14ac:dyDescent="0.2">
      <c r="A421" s="5" t="str">
        <f>TEXT(Data[[#This Row],[Date]],"yyyy")</f>
        <v>2021</v>
      </c>
      <c r="B421" s="5" t="str">
        <f>TEXT(Data[[#This Row],[Date]],"mmm")</f>
        <v>Jul</v>
      </c>
      <c r="C421" s="3">
        <v>44396</v>
      </c>
      <c r="D421" t="s">
        <v>376</v>
      </c>
      <c r="E421" t="s">
        <v>31</v>
      </c>
      <c r="F421" t="s">
        <v>55</v>
      </c>
      <c r="G421" s="1">
        <v>12.78</v>
      </c>
      <c r="I421" s="1">
        <f ca="1">IFERROR(OFFSET(Data[[#This Row],[Balance]],-1,0)+Data[[#This Row],[Actual Income]]-Data[[#This Row],[Actual Expense]], Data[[#This Row],[Actual Income]])</f>
        <v>-8994.7074999999986</v>
      </c>
      <c r="J421" s="1">
        <f>IF(Data[[#This Row],[Category]]="Savings or Investments", Data[[#This Row],[Actual Expense]],0)</f>
        <v>0</v>
      </c>
      <c r="K421" t="s">
        <v>387</v>
      </c>
    </row>
    <row r="422" spans="1:11" x14ac:dyDescent="0.2">
      <c r="A422" s="5" t="str">
        <f>TEXT(Data[[#This Row],[Date]],"yyyy")</f>
        <v>2021</v>
      </c>
      <c r="B422" s="5" t="str">
        <f>TEXT(Data[[#This Row],[Date]],"mmm")</f>
        <v>Jul</v>
      </c>
      <c r="C422" s="3">
        <v>44396</v>
      </c>
      <c r="D422" t="s">
        <v>377</v>
      </c>
      <c r="E422" t="s">
        <v>31</v>
      </c>
      <c r="F422" t="s">
        <v>55</v>
      </c>
      <c r="G422" s="1">
        <v>8.7100000000000009</v>
      </c>
      <c r="I422" s="1">
        <f ca="1">IFERROR(OFFSET(Data[[#This Row],[Balance]],-1,0)+Data[[#This Row],[Actual Income]]-Data[[#This Row],[Actual Expense]], Data[[#This Row],[Actual Income]])</f>
        <v>-9003.4174999999977</v>
      </c>
      <c r="J422" s="1">
        <f>IF(Data[[#This Row],[Category]]="Savings or Investments", Data[[#This Row],[Actual Expense]],0)</f>
        <v>0</v>
      </c>
      <c r="K422" t="s">
        <v>387</v>
      </c>
    </row>
    <row r="423" spans="1:11" x14ac:dyDescent="0.2">
      <c r="A423" s="5" t="str">
        <f>TEXT(Data[[#This Row],[Date]],"yyyy")</f>
        <v>2021</v>
      </c>
      <c r="B423" s="5" t="str">
        <f>TEXT(Data[[#This Row],[Date]],"mmm")</f>
        <v>Jul</v>
      </c>
      <c r="C423" s="3">
        <v>44397</v>
      </c>
      <c r="D423" t="s">
        <v>354</v>
      </c>
      <c r="E423" t="s">
        <v>44</v>
      </c>
      <c r="F423" t="s">
        <v>19</v>
      </c>
      <c r="G423" s="1">
        <v>17.39</v>
      </c>
      <c r="I423" s="1">
        <f ca="1">IFERROR(OFFSET(Data[[#This Row],[Balance]],-1,0)+Data[[#This Row],[Actual Income]]-Data[[#This Row],[Actual Expense]], Data[[#This Row],[Actual Income]])</f>
        <v>-9020.8074999999972</v>
      </c>
      <c r="J423" s="1">
        <f>IF(Data[[#This Row],[Category]]="Savings or Investments", Data[[#This Row],[Actual Expense]],0)</f>
        <v>0</v>
      </c>
      <c r="K423" t="s">
        <v>349</v>
      </c>
    </row>
    <row r="424" spans="1:11" x14ac:dyDescent="0.2">
      <c r="A424" s="5" t="str">
        <f>TEXT(Data[[#This Row],[Date]],"yyyy")</f>
        <v>2021</v>
      </c>
      <c r="B424" s="5" t="str">
        <f>TEXT(Data[[#This Row],[Date]],"mmm")</f>
        <v>Jul</v>
      </c>
      <c r="C424" s="3">
        <v>44398</v>
      </c>
      <c r="D424" t="s">
        <v>353</v>
      </c>
      <c r="E424" t="s">
        <v>48</v>
      </c>
      <c r="F424" t="s">
        <v>70</v>
      </c>
      <c r="G424" s="1">
        <v>200</v>
      </c>
      <c r="I424" s="1">
        <f ca="1">IFERROR(OFFSET(Data[[#This Row],[Balance]],-1,0)+Data[[#This Row],[Actual Income]]-Data[[#This Row],[Actual Expense]], Data[[#This Row],[Actual Income]])</f>
        <v>-9220.8074999999972</v>
      </c>
      <c r="J424" s="1">
        <f>IF(Data[[#This Row],[Category]]="Savings or Investments", Data[[#This Row],[Actual Expense]],0)</f>
        <v>200</v>
      </c>
      <c r="K424" t="s">
        <v>349</v>
      </c>
    </row>
    <row r="425" spans="1:11" x14ac:dyDescent="0.2">
      <c r="A425" s="5" t="str">
        <f>TEXT(Data[[#This Row],[Date]],"yyyy")</f>
        <v>2021</v>
      </c>
      <c r="B425" s="5" t="str">
        <f>TEXT(Data[[#This Row],[Date]],"mmm")</f>
        <v>Jul</v>
      </c>
      <c r="C425" s="3">
        <v>44398</v>
      </c>
      <c r="D425" t="s">
        <v>320</v>
      </c>
      <c r="E425" t="s">
        <v>31</v>
      </c>
      <c r="F425" t="s">
        <v>30</v>
      </c>
      <c r="G425" s="1">
        <v>72.73</v>
      </c>
      <c r="I425" s="1">
        <f ca="1">IFERROR(OFFSET(Data[[#This Row],[Balance]],-1,0)+Data[[#This Row],[Actual Income]]-Data[[#This Row],[Actual Expense]], Data[[#This Row],[Actual Income]])</f>
        <v>-9293.5374999999967</v>
      </c>
      <c r="J425" s="1">
        <f>IF(Data[[#This Row],[Category]]="Savings or Investments", Data[[#This Row],[Actual Expense]],0)</f>
        <v>0</v>
      </c>
      <c r="K425" t="s">
        <v>286</v>
      </c>
    </row>
    <row r="426" spans="1:11" x14ac:dyDescent="0.2">
      <c r="A426" s="5" t="str">
        <f>TEXT(Data[[#This Row],[Date]],"yyyy")</f>
        <v>2021</v>
      </c>
      <c r="B426" s="5" t="str">
        <f>TEXT(Data[[#This Row],[Date]],"mmm")</f>
        <v>Jul</v>
      </c>
      <c r="C426" s="3">
        <v>44399</v>
      </c>
      <c r="D426" t="s">
        <v>317</v>
      </c>
      <c r="E426" t="s">
        <v>31</v>
      </c>
      <c r="F426" t="s">
        <v>55</v>
      </c>
      <c r="G426" s="1">
        <v>6.84</v>
      </c>
      <c r="I426" s="1">
        <f ca="1">IFERROR(OFFSET(Data[[#This Row],[Balance]],-1,0)+Data[[#This Row],[Actual Income]]-Data[[#This Row],[Actual Expense]], Data[[#This Row],[Actual Income]])</f>
        <v>-9300.3774999999969</v>
      </c>
      <c r="J426" s="1">
        <f>IF(Data[[#This Row],[Category]]="Savings or Investments", Data[[#This Row],[Actual Expense]],0)</f>
        <v>0</v>
      </c>
      <c r="K426" t="s">
        <v>286</v>
      </c>
    </row>
    <row r="427" spans="1:11" x14ac:dyDescent="0.2">
      <c r="A427" s="5" t="str">
        <f>TEXT(Data[[#This Row],[Date]],"yyyy")</f>
        <v>2021</v>
      </c>
      <c r="B427" s="5" t="str">
        <f>TEXT(Data[[#This Row],[Date]],"mmm")</f>
        <v>Jul</v>
      </c>
      <c r="C427" s="3">
        <v>44399</v>
      </c>
      <c r="D427" t="s">
        <v>375</v>
      </c>
      <c r="E427" t="s">
        <v>31</v>
      </c>
      <c r="F427" t="s">
        <v>30</v>
      </c>
      <c r="G427" s="1">
        <v>19.899999999999999</v>
      </c>
      <c r="I427" s="1">
        <f ca="1">IFERROR(OFFSET(Data[[#This Row],[Balance]],-1,0)+Data[[#This Row],[Actual Income]]-Data[[#This Row],[Actual Expense]], Data[[#This Row],[Actual Income]])</f>
        <v>-9320.2774999999965</v>
      </c>
      <c r="J427" s="1">
        <f>IF(Data[[#This Row],[Category]]="Savings or Investments", Data[[#This Row],[Actual Expense]],0)</f>
        <v>0</v>
      </c>
      <c r="K427" t="s">
        <v>387</v>
      </c>
    </row>
    <row r="428" spans="1:11" x14ac:dyDescent="0.2">
      <c r="A428" s="5" t="str">
        <f>TEXT(Data[[#This Row],[Date]],"yyyy")</f>
        <v>2021</v>
      </c>
      <c r="B428" s="5" t="str">
        <f>TEXT(Data[[#This Row],[Date]],"mmm")</f>
        <v>Jul</v>
      </c>
      <c r="C428" s="3">
        <v>44401</v>
      </c>
      <c r="D428" t="s">
        <v>316</v>
      </c>
      <c r="E428" t="s">
        <v>31</v>
      </c>
      <c r="F428" t="s">
        <v>30</v>
      </c>
      <c r="G428" s="1">
        <v>9</v>
      </c>
      <c r="I428" s="1">
        <f ca="1">IFERROR(OFFSET(Data[[#This Row],[Balance]],-1,0)+Data[[#This Row],[Actual Income]]-Data[[#This Row],[Actual Expense]], Data[[#This Row],[Actual Income]])</f>
        <v>-9329.2774999999965</v>
      </c>
      <c r="J428" s="1">
        <f>IF(Data[[#This Row],[Category]]="Savings or Investments", Data[[#This Row],[Actual Expense]],0)</f>
        <v>0</v>
      </c>
      <c r="K428" t="s">
        <v>286</v>
      </c>
    </row>
    <row r="429" spans="1:11" x14ac:dyDescent="0.2">
      <c r="A429" s="5" t="str">
        <f>TEXT(Data[[#This Row],[Date]],"yyyy")</f>
        <v>2021</v>
      </c>
      <c r="B429" s="5" t="str">
        <f>TEXT(Data[[#This Row],[Date]],"mmm")</f>
        <v>Jul</v>
      </c>
      <c r="C429" s="3">
        <v>44401</v>
      </c>
      <c r="D429" t="s">
        <v>313</v>
      </c>
      <c r="E429" t="s">
        <v>51</v>
      </c>
      <c r="F429" t="s">
        <v>38</v>
      </c>
      <c r="G429" s="1">
        <v>30</v>
      </c>
      <c r="I429" s="1">
        <f ca="1">IFERROR(OFFSET(Data[[#This Row],[Balance]],-1,0)+Data[[#This Row],[Actual Income]]-Data[[#This Row],[Actual Expense]], Data[[#This Row],[Actual Income]])</f>
        <v>-9359.2774999999965</v>
      </c>
      <c r="J429" s="1">
        <f>IF(Data[[#This Row],[Category]]="Savings or Investments", Data[[#This Row],[Actual Expense]],0)</f>
        <v>0</v>
      </c>
      <c r="K429" t="s">
        <v>286</v>
      </c>
    </row>
    <row r="430" spans="1:11" x14ac:dyDescent="0.2">
      <c r="A430" s="5" t="str">
        <f>TEXT(Data[[#This Row],[Date]],"yyyy")</f>
        <v>2021</v>
      </c>
      <c r="B430" s="5" t="str">
        <f>TEXT(Data[[#This Row],[Date]],"mmm")</f>
        <v>Jul</v>
      </c>
      <c r="C430" s="3">
        <v>44401</v>
      </c>
      <c r="D430" t="s">
        <v>319</v>
      </c>
      <c r="E430" t="s">
        <v>31</v>
      </c>
      <c r="F430" t="s">
        <v>29</v>
      </c>
      <c r="G430" s="1">
        <v>29.42</v>
      </c>
      <c r="I430" s="1">
        <f ca="1">IFERROR(OFFSET(Data[[#This Row],[Balance]],-1,0)+Data[[#This Row],[Actual Income]]-Data[[#This Row],[Actual Expense]], Data[[#This Row],[Actual Income]])</f>
        <v>-9388.6974999999966</v>
      </c>
      <c r="J430" s="1">
        <f>IF(Data[[#This Row],[Category]]="Savings or Investments", Data[[#This Row],[Actual Expense]],0)</f>
        <v>0</v>
      </c>
      <c r="K430" t="s">
        <v>286</v>
      </c>
    </row>
    <row r="431" spans="1:11" x14ac:dyDescent="0.2">
      <c r="A431" s="5" t="str">
        <f>TEXT(Data[[#This Row],[Date]],"yyyy")</f>
        <v>2021</v>
      </c>
      <c r="B431" s="5" t="str">
        <f>TEXT(Data[[#This Row],[Date]],"mmm")</f>
        <v>Jul</v>
      </c>
      <c r="C431" s="3">
        <v>44401</v>
      </c>
      <c r="D431" t="s">
        <v>318</v>
      </c>
      <c r="E431" t="s">
        <v>53</v>
      </c>
      <c r="F431" t="s">
        <v>188</v>
      </c>
      <c r="G431" s="1">
        <v>263.32</v>
      </c>
      <c r="I431" s="1">
        <f ca="1">IFERROR(OFFSET(Data[[#This Row],[Balance]],-1,0)+Data[[#This Row],[Actual Income]]-Data[[#This Row],[Actual Expense]], Data[[#This Row],[Actual Income]])</f>
        <v>-9652.0174999999963</v>
      </c>
      <c r="J431" s="1">
        <f>IF(Data[[#This Row],[Category]]="Savings or Investments", Data[[#This Row],[Actual Expense]],0)</f>
        <v>0</v>
      </c>
      <c r="K431" t="s">
        <v>286</v>
      </c>
    </row>
    <row r="432" spans="1:11" x14ac:dyDescent="0.2">
      <c r="A432" s="5" t="str">
        <f>TEXT(Data[[#This Row],[Date]],"yyyy")</f>
        <v>2021</v>
      </c>
      <c r="B432" s="5" t="str">
        <f>TEXT(Data[[#This Row],[Date]],"mmm")</f>
        <v>Jul</v>
      </c>
      <c r="C432" s="3">
        <v>44402</v>
      </c>
      <c r="D432" t="s">
        <v>312</v>
      </c>
      <c r="E432" t="s">
        <v>31</v>
      </c>
      <c r="F432" t="s">
        <v>30</v>
      </c>
      <c r="G432" s="1">
        <v>6.46</v>
      </c>
      <c r="I432" s="1">
        <f ca="1">IFERROR(OFFSET(Data[[#This Row],[Balance]],-1,0)+Data[[#This Row],[Actual Income]]-Data[[#This Row],[Actual Expense]], Data[[#This Row],[Actual Income]])</f>
        <v>-9658.4774999999954</v>
      </c>
      <c r="J432" s="1">
        <f>IF(Data[[#This Row],[Category]]="Savings or Investments", Data[[#This Row],[Actual Expense]],0)</f>
        <v>0</v>
      </c>
      <c r="K432" t="s">
        <v>286</v>
      </c>
    </row>
    <row r="433" spans="1:11" x14ac:dyDescent="0.2">
      <c r="A433" s="5" t="str">
        <f>TEXT(Data[[#This Row],[Date]],"yyyy")</f>
        <v>2021</v>
      </c>
      <c r="B433" s="5" t="str">
        <f>TEXT(Data[[#This Row],[Date]],"mmm")</f>
        <v>Jul</v>
      </c>
      <c r="C433" s="3">
        <v>44402</v>
      </c>
      <c r="D433" t="s">
        <v>314</v>
      </c>
      <c r="E433" t="s">
        <v>44</v>
      </c>
      <c r="F433" t="s">
        <v>19</v>
      </c>
      <c r="G433" s="1">
        <v>30.91</v>
      </c>
      <c r="I433" s="1">
        <f ca="1">IFERROR(OFFSET(Data[[#This Row],[Balance]],-1,0)+Data[[#This Row],[Actual Income]]-Data[[#This Row],[Actual Expense]], Data[[#This Row],[Actual Income]])</f>
        <v>-9689.3874999999953</v>
      </c>
      <c r="J433" s="1">
        <f>IF(Data[[#This Row],[Category]]="Savings or Investments", Data[[#This Row],[Actual Expense]],0)</f>
        <v>0</v>
      </c>
      <c r="K433" t="s">
        <v>286</v>
      </c>
    </row>
    <row r="434" spans="1:11" x14ac:dyDescent="0.2">
      <c r="A434" s="5" t="str">
        <f>TEXT(Data[[#This Row],[Date]],"yyyy")</f>
        <v>2021</v>
      </c>
      <c r="B434" s="5" t="str">
        <f>TEXT(Data[[#This Row],[Date]],"mmm")</f>
        <v>Jul</v>
      </c>
      <c r="C434" s="3">
        <v>44402</v>
      </c>
      <c r="D434" t="s">
        <v>315</v>
      </c>
      <c r="E434" t="s">
        <v>31</v>
      </c>
      <c r="F434" t="s">
        <v>30</v>
      </c>
      <c r="G434" s="1">
        <v>46.39</v>
      </c>
      <c r="I434" s="1">
        <f ca="1">IFERROR(OFFSET(Data[[#This Row],[Balance]],-1,0)+Data[[#This Row],[Actual Income]]-Data[[#This Row],[Actual Expense]], Data[[#This Row],[Actual Income]])</f>
        <v>-9735.7774999999947</v>
      </c>
      <c r="J434" s="1">
        <f>IF(Data[[#This Row],[Category]]="Savings or Investments", Data[[#This Row],[Actual Expense]],0)</f>
        <v>0</v>
      </c>
      <c r="K434" t="s">
        <v>286</v>
      </c>
    </row>
    <row r="435" spans="1:11" x14ac:dyDescent="0.2">
      <c r="A435" s="5" t="str">
        <f>TEXT(Data[[#This Row],[Date]],"yyyy")</f>
        <v>2021</v>
      </c>
      <c r="B435" s="5" t="str">
        <f>TEXT(Data[[#This Row],[Date]],"mmm")</f>
        <v>Jul</v>
      </c>
      <c r="C435" s="3">
        <v>44403</v>
      </c>
      <c r="D435" t="s">
        <v>374</v>
      </c>
      <c r="E435" t="s">
        <v>31</v>
      </c>
      <c r="F435" t="s">
        <v>55</v>
      </c>
      <c r="G435" s="1">
        <v>14.6</v>
      </c>
      <c r="I435" s="1">
        <f ca="1">IFERROR(OFFSET(Data[[#This Row],[Balance]],-1,0)+Data[[#This Row],[Actual Income]]-Data[[#This Row],[Actual Expense]], Data[[#This Row],[Actual Income]])</f>
        <v>-9750.3774999999951</v>
      </c>
      <c r="J435" s="1">
        <f>IF(Data[[#This Row],[Category]]="Savings or Investments", Data[[#This Row],[Actual Expense]],0)</f>
        <v>0</v>
      </c>
      <c r="K435" t="s">
        <v>387</v>
      </c>
    </row>
    <row r="436" spans="1:11" x14ac:dyDescent="0.2">
      <c r="A436" s="5" t="str">
        <f>TEXT(Data[[#This Row],[Date]],"yyyy")</f>
        <v>2021</v>
      </c>
      <c r="B436" s="5" t="str">
        <f>TEXT(Data[[#This Row],[Date]],"mmm")</f>
        <v>Jul</v>
      </c>
      <c r="C436" s="3">
        <v>44405</v>
      </c>
      <c r="D436" t="s">
        <v>352</v>
      </c>
      <c r="E436" t="s">
        <v>48</v>
      </c>
      <c r="F436" t="s">
        <v>70</v>
      </c>
      <c r="G436" s="1">
        <v>200</v>
      </c>
      <c r="I436" s="1">
        <f ca="1">IFERROR(OFFSET(Data[[#This Row],[Balance]],-1,0)+Data[[#This Row],[Actual Income]]-Data[[#This Row],[Actual Expense]], Data[[#This Row],[Actual Income]])</f>
        <v>-9950.3774999999951</v>
      </c>
      <c r="J436" s="1">
        <f>IF(Data[[#This Row],[Category]]="Savings or Investments", Data[[#This Row],[Actual Expense]],0)</f>
        <v>200</v>
      </c>
      <c r="K436" t="s">
        <v>349</v>
      </c>
    </row>
    <row r="437" spans="1:11" x14ac:dyDescent="0.2">
      <c r="A437" s="5" t="str">
        <f>TEXT(Data[[#This Row],[Date]],"yyyy")</f>
        <v>2021</v>
      </c>
      <c r="B437" s="5" t="str">
        <f>TEXT(Data[[#This Row],[Date]],"mmm")</f>
        <v>Jul</v>
      </c>
      <c r="C437" s="3">
        <v>44406</v>
      </c>
      <c r="D437" t="s">
        <v>317</v>
      </c>
      <c r="E437" t="s">
        <v>31</v>
      </c>
      <c r="F437" t="s">
        <v>55</v>
      </c>
      <c r="G437" s="1">
        <v>13.74</v>
      </c>
      <c r="I437" s="1">
        <f ca="1">IFERROR(OFFSET(Data[[#This Row],[Balance]],-1,0)+Data[[#This Row],[Actual Income]]-Data[[#This Row],[Actual Expense]], Data[[#This Row],[Actual Income]])</f>
        <v>-9964.1174999999948</v>
      </c>
      <c r="J437" s="1">
        <f>IF(Data[[#This Row],[Category]]="Savings or Investments", Data[[#This Row],[Actual Expense]],0)</f>
        <v>0</v>
      </c>
    </row>
    <row r="438" spans="1:11" x14ac:dyDescent="0.2">
      <c r="A438" s="5" t="str">
        <f>TEXT(Data[[#This Row],[Date]],"yyyy")</f>
        <v>2021</v>
      </c>
      <c r="B438" s="5" t="str">
        <f>TEXT(Data[[#This Row],[Date]],"mmm")</f>
        <v>Jul</v>
      </c>
      <c r="C438" s="3">
        <v>44406</v>
      </c>
      <c r="D438" t="s">
        <v>398</v>
      </c>
      <c r="E438" t="s">
        <v>31</v>
      </c>
      <c r="F438" t="s">
        <v>30</v>
      </c>
      <c r="G438" s="1">
        <v>12.27</v>
      </c>
      <c r="I438" s="1">
        <f ca="1">IFERROR(OFFSET(Data[[#This Row],[Balance]],-1,0)+Data[[#This Row],[Actual Income]]-Data[[#This Row],[Actual Expense]], Data[[#This Row],[Actual Income]])</f>
        <v>-9976.3874999999953</v>
      </c>
      <c r="J438" s="1">
        <f>IF(Data[[#This Row],[Category]]="Savings or Investments", Data[[#This Row],[Actual Expense]],0)</f>
        <v>0</v>
      </c>
    </row>
    <row r="439" spans="1:11" x14ac:dyDescent="0.2">
      <c r="A439" s="5" t="str">
        <f>TEXT(Data[[#This Row],[Date]],"yyyy")</f>
        <v>2021</v>
      </c>
      <c r="B439" s="5" t="str">
        <f>TEXT(Data[[#This Row],[Date]],"mmm")</f>
        <v>Jul</v>
      </c>
      <c r="C439" s="3">
        <v>44406</v>
      </c>
      <c r="D439" t="s">
        <v>317</v>
      </c>
      <c r="E439" t="s">
        <v>31</v>
      </c>
      <c r="F439" t="s">
        <v>55</v>
      </c>
      <c r="G439" s="1">
        <v>13.74</v>
      </c>
      <c r="I439" s="1">
        <f ca="1">IFERROR(OFFSET(Data[[#This Row],[Balance]],-1,0)+Data[[#This Row],[Actual Income]]-Data[[#This Row],[Actual Expense]], Data[[#This Row],[Actual Income]])</f>
        <v>-9990.1274999999951</v>
      </c>
      <c r="J439" s="1">
        <f>IF(Data[[#This Row],[Category]]="Savings or Investments", Data[[#This Row],[Actual Expense]],0)</f>
        <v>0</v>
      </c>
    </row>
    <row r="440" spans="1:11" x14ac:dyDescent="0.2">
      <c r="A440" s="5" t="str">
        <f>TEXT(Data[[#This Row],[Date]],"yyyy")</f>
        <v>2021</v>
      </c>
      <c r="B440" s="5" t="str">
        <f>TEXT(Data[[#This Row],[Date]],"mmm")</f>
        <v>Jul</v>
      </c>
      <c r="C440" s="3">
        <v>44406</v>
      </c>
      <c r="D440" t="s">
        <v>398</v>
      </c>
      <c r="E440" t="s">
        <v>31</v>
      </c>
      <c r="F440" t="s">
        <v>30</v>
      </c>
      <c r="G440" s="1">
        <v>12.27</v>
      </c>
      <c r="I440" s="1">
        <f ca="1">IFERROR(OFFSET(Data[[#This Row],[Balance]],-1,0)+Data[[#This Row],[Actual Income]]-Data[[#This Row],[Actual Expense]], Data[[#This Row],[Actual Income]])</f>
        <v>-10002.397499999995</v>
      </c>
      <c r="J440" s="1">
        <f>IF(Data[[#This Row],[Category]]="Savings or Investments", Data[[#This Row],[Actual Expense]],0)</f>
        <v>0</v>
      </c>
    </row>
    <row r="441" spans="1:11" x14ac:dyDescent="0.2">
      <c r="A441" s="5" t="str">
        <f>TEXT(Data[[#This Row],[Date]],"yyyy")</f>
        <v>2021</v>
      </c>
      <c r="B441" s="5" t="str">
        <f>TEXT(Data[[#This Row],[Date]],"mmm")</f>
        <v>Aug</v>
      </c>
      <c r="C441" s="3">
        <v>44409</v>
      </c>
      <c r="D441" t="s">
        <v>350</v>
      </c>
      <c r="E441" t="s">
        <v>42</v>
      </c>
      <c r="F441" t="s">
        <v>0</v>
      </c>
      <c r="G441" s="1">
        <v>500</v>
      </c>
      <c r="I441" s="1">
        <f ca="1">IFERROR(OFFSET(Data[[#This Row],[Balance]],-1,0)+Data[[#This Row],[Actual Income]]-Data[[#This Row],[Actual Expense]], Data[[#This Row],[Actual Income]])</f>
        <v>-10502.397499999995</v>
      </c>
      <c r="J441" s="1">
        <f>IF(Data[[#This Row],[Category]]="Savings or Investments", Data[[#This Row],[Actual Expense]],0)</f>
        <v>0</v>
      </c>
      <c r="K441" t="s">
        <v>349</v>
      </c>
    </row>
    <row r="442" spans="1:11" x14ac:dyDescent="0.2">
      <c r="A442" s="5" t="str">
        <f>TEXT(Data[[#This Row],[Date]],"yyyy")</f>
        <v>2021</v>
      </c>
      <c r="B442" s="5" t="str">
        <f>TEXT(Data[[#This Row],[Date]],"mmm")</f>
        <v>Jul</v>
      </c>
      <c r="C442" s="3">
        <v>44407</v>
      </c>
      <c r="D442" t="s">
        <v>351</v>
      </c>
      <c r="E442" t="s">
        <v>81</v>
      </c>
      <c r="F442" t="s">
        <v>174</v>
      </c>
      <c r="G442" s="1"/>
      <c r="H442" s="1">
        <v>1876.04</v>
      </c>
      <c r="I442" s="1">
        <f ca="1">IFERROR(OFFSET(Data[[#This Row],[Balance]],-1,0)+Data[[#This Row],[Actual Income]]-Data[[#This Row],[Actual Expense]], Data[[#This Row],[Actual Income]])</f>
        <v>-8626.3574999999946</v>
      </c>
      <c r="J442" s="1">
        <f>IF(Data[[#This Row],[Category]]="Savings or Investments", Data[[#This Row],[Actual Expense]],0)</f>
        <v>0</v>
      </c>
      <c r="K442" t="s">
        <v>349</v>
      </c>
    </row>
    <row r="443" spans="1:11" x14ac:dyDescent="0.2">
      <c r="A443" s="5" t="str">
        <f>TEXT(Data[[#This Row],[Date]],"yyyy")</f>
        <v>2021</v>
      </c>
      <c r="B443" s="5" t="str">
        <f>TEXT(Data[[#This Row],[Date]],"mmm")</f>
        <v>Jul</v>
      </c>
      <c r="C443" s="3">
        <v>44407</v>
      </c>
      <c r="D443" t="s">
        <v>396</v>
      </c>
      <c r="E443" t="s">
        <v>51</v>
      </c>
      <c r="F443" t="s">
        <v>388</v>
      </c>
      <c r="G443" s="1">
        <v>1800</v>
      </c>
      <c r="I443" s="1">
        <f ca="1">IFERROR(OFFSET(Data[[#This Row],[Balance]],-1,0)+Data[[#This Row],[Actual Income]]-Data[[#This Row],[Actual Expense]], Data[[#This Row],[Actual Income]])</f>
        <v>-10426.357499999995</v>
      </c>
      <c r="J443" s="1">
        <f>IF(Data[[#This Row],[Category]]="Savings or Investments", Data[[#This Row],[Actual Expense]],0)</f>
        <v>0</v>
      </c>
      <c r="K443" t="s">
        <v>286</v>
      </c>
    </row>
    <row r="444" spans="1:11" x14ac:dyDescent="0.2">
      <c r="A444" s="5" t="str">
        <f>TEXT(Data[[#This Row],[Date]],"yyyy")</f>
        <v>2021</v>
      </c>
      <c r="B444" s="5" t="str">
        <f>TEXT(Data[[#This Row],[Date]],"mmm")</f>
        <v>Jul</v>
      </c>
      <c r="C444" s="3">
        <v>44407</v>
      </c>
      <c r="D444" t="s">
        <v>397</v>
      </c>
      <c r="E444" t="s">
        <v>31</v>
      </c>
      <c r="F444" t="s">
        <v>30</v>
      </c>
      <c r="G444" s="1">
        <v>30.64</v>
      </c>
      <c r="I444" s="1">
        <f ca="1">IFERROR(OFFSET(Data[[#This Row],[Balance]],-1,0)+Data[[#This Row],[Actual Income]]-Data[[#This Row],[Actual Expense]], Data[[#This Row],[Actual Income]])</f>
        <v>-10456.997499999994</v>
      </c>
      <c r="J444" s="1">
        <f>IF(Data[[#This Row],[Category]]="Savings or Investments", Data[[#This Row],[Actual Expense]],0)</f>
        <v>0</v>
      </c>
    </row>
    <row r="445" spans="1:11" x14ac:dyDescent="0.2">
      <c r="A445" s="5" t="str">
        <f>TEXT(Data[[#This Row],[Date]],"yyyy")</f>
        <v>2021</v>
      </c>
      <c r="B445" s="5" t="str">
        <f>TEXT(Data[[#This Row],[Date]],"mmm")</f>
        <v>Jul</v>
      </c>
      <c r="C445" s="3">
        <v>44407</v>
      </c>
      <c r="D445" t="s">
        <v>397</v>
      </c>
      <c r="E445" t="s">
        <v>31</v>
      </c>
      <c r="F445" t="s">
        <v>30</v>
      </c>
      <c r="G445" s="1">
        <v>30.64</v>
      </c>
      <c r="I445" s="1">
        <f ca="1">IFERROR(OFFSET(Data[[#This Row],[Balance]],-1,0)+Data[[#This Row],[Actual Income]]-Data[[#This Row],[Actual Expense]], Data[[#This Row],[Actual Income]])</f>
        <v>-10487.637499999993</v>
      </c>
      <c r="J445" s="1">
        <f>IF(Data[[#This Row],[Category]]="Savings or Investments", Data[[#This Row],[Actual Expense]],0)</f>
        <v>0</v>
      </c>
    </row>
    <row r="446" spans="1:11" x14ac:dyDescent="0.2">
      <c r="A446" s="5" t="str">
        <f>TEXT(Data[[#This Row],[Date]],"yyyy")</f>
        <v>2021</v>
      </c>
      <c r="B446" s="5" t="str">
        <f>TEXT(Data[[#This Row],[Date]],"mmm")</f>
        <v>Jul</v>
      </c>
      <c r="C446" s="3">
        <v>44408</v>
      </c>
      <c r="D446" t="s">
        <v>317</v>
      </c>
      <c r="E446" t="s">
        <v>31</v>
      </c>
      <c r="F446" t="s">
        <v>55</v>
      </c>
      <c r="G446" s="1">
        <v>7.02</v>
      </c>
      <c r="I446" s="1">
        <f ca="1">IFERROR(OFFSET(Data[[#This Row],[Balance]],-1,0)+Data[[#This Row],[Actual Income]]-Data[[#This Row],[Actual Expense]], Data[[#This Row],[Actual Income]])</f>
        <v>-10494.657499999994</v>
      </c>
      <c r="J446" s="1">
        <f>IF(Data[[#This Row],[Category]]="Savings or Investments", Data[[#This Row],[Actual Expense]],0)</f>
        <v>0</v>
      </c>
    </row>
    <row r="447" spans="1:11" x14ac:dyDescent="0.2">
      <c r="A447" s="5" t="str">
        <f>TEXT(Data[[#This Row],[Date]],"yyyy")</f>
        <v>2021</v>
      </c>
      <c r="B447" s="5" t="str">
        <f>TEXT(Data[[#This Row],[Date]],"mmm")</f>
        <v>Jul</v>
      </c>
      <c r="C447" s="3">
        <v>44408</v>
      </c>
      <c r="D447" t="s">
        <v>394</v>
      </c>
      <c r="E447" t="s">
        <v>31</v>
      </c>
      <c r="F447" t="s">
        <v>29</v>
      </c>
      <c r="G447" s="1">
        <v>73.03</v>
      </c>
      <c r="I447" s="1">
        <f ca="1">IFERROR(OFFSET(Data[[#This Row],[Balance]],-1,0)+Data[[#This Row],[Actual Income]]-Data[[#This Row],[Actual Expense]], Data[[#This Row],[Actual Income]])</f>
        <v>-10567.687499999995</v>
      </c>
      <c r="J447" s="1">
        <f>IF(Data[[#This Row],[Category]]="Savings or Investments", Data[[#This Row],[Actual Expense]],0)</f>
        <v>0</v>
      </c>
    </row>
    <row r="448" spans="1:11" x14ac:dyDescent="0.2">
      <c r="A448" s="5" t="str">
        <f>TEXT(Data[[#This Row],[Date]],"yyyy")</f>
        <v>2021</v>
      </c>
      <c r="B448" s="5" t="str">
        <f>TEXT(Data[[#This Row],[Date]],"mmm")</f>
        <v>Jul</v>
      </c>
      <c r="C448" s="3">
        <v>44408</v>
      </c>
      <c r="D448" t="s">
        <v>395</v>
      </c>
      <c r="E448" t="s">
        <v>31</v>
      </c>
      <c r="F448" t="s">
        <v>30</v>
      </c>
      <c r="G448" s="1">
        <v>18.690000000000001</v>
      </c>
      <c r="I448" s="1">
        <f ca="1">IFERROR(OFFSET(Data[[#This Row],[Balance]],-1,0)+Data[[#This Row],[Actual Income]]-Data[[#This Row],[Actual Expense]], Data[[#This Row],[Actual Income]])</f>
        <v>-10586.377499999995</v>
      </c>
      <c r="J448" s="1">
        <f>IF(Data[[#This Row],[Category]]="Savings or Investments", Data[[#This Row],[Actual Expense]],0)</f>
        <v>0</v>
      </c>
    </row>
    <row r="449" spans="1:11" x14ac:dyDescent="0.2">
      <c r="A449" s="5" t="str">
        <f>TEXT(Data[[#This Row],[Date]],"yyyy")</f>
        <v>2021</v>
      </c>
      <c r="B449" s="5" t="str">
        <f>TEXT(Data[[#This Row],[Date]],"mmm")</f>
        <v>Jul</v>
      </c>
      <c r="C449" s="3">
        <v>44408</v>
      </c>
      <c r="D449" t="s">
        <v>317</v>
      </c>
      <c r="E449" t="s">
        <v>31</v>
      </c>
      <c r="F449" t="s">
        <v>55</v>
      </c>
      <c r="G449" s="1">
        <v>7.02</v>
      </c>
      <c r="I449" s="1">
        <f ca="1">IFERROR(OFFSET(Data[[#This Row],[Balance]],-1,0)+Data[[#This Row],[Actual Income]]-Data[[#This Row],[Actual Expense]], Data[[#This Row],[Actual Income]])</f>
        <v>-10593.397499999995</v>
      </c>
      <c r="J449" s="1">
        <f>IF(Data[[#This Row],[Category]]="Savings or Investments", Data[[#This Row],[Actual Expense]],0)</f>
        <v>0</v>
      </c>
    </row>
    <row r="450" spans="1:11" x14ac:dyDescent="0.2">
      <c r="A450" s="5" t="str">
        <f>TEXT(Data[[#This Row],[Date]],"yyyy")</f>
        <v>2021</v>
      </c>
      <c r="B450" s="5" t="str">
        <f>TEXT(Data[[#This Row],[Date]],"mmm")</f>
        <v>Jul</v>
      </c>
      <c r="C450" s="3">
        <v>44408</v>
      </c>
      <c r="D450" t="s">
        <v>394</v>
      </c>
      <c r="E450" t="s">
        <v>31</v>
      </c>
      <c r="F450" t="s">
        <v>29</v>
      </c>
      <c r="G450" s="1">
        <v>73.03</v>
      </c>
      <c r="I450" s="1">
        <f ca="1">IFERROR(OFFSET(Data[[#This Row],[Balance]],-1,0)+Data[[#This Row],[Actual Income]]-Data[[#This Row],[Actual Expense]], Data[[#This Row],[Actual Income]])</f>
        <v>-10666.427499999996</v>
      </c>
      <c r="J450" s="1">
        <f>IF(Data[[#This Row],[Category]]="Savings or Investments", Data[[#This Row],[Actual Expense]],0)</f>
        <v>0</v>
      </c>
    </row>
    <row r="451" spans="1:11" x14ac:dyDescent="0.2">
      <c r="A451" s="5" t="str">
        <f>TEXT(Data[[#This Row],[Date]],"yyyy")</f>
        <v>2021</v>
      </c>
      <c r="B451" s="5" t="str">
        <f>TEXT(Data[[#This Row],[Date]],"mmm")</f>
        <v>Jul</v>
      </c>
      <c r="C451" s="3">
        <v>44408</v>
      </c>
      <c r="D451" t="s">
        <v>395</v>
      </c>
      <c r="E451" t="s">
        <v>31</v>
      </c>
      <c r="F451" t="s">
        <v>30</v>
      </c>
      <c r="G451" s="1">
        <v>18.690000000000001</v>
      </c>
      <c r="I451" s="1">
        <f ca="1">IFERROR(OFFSET(Data[[#This Row],[Balance]],-1,0)+Data[[#This Row],[Actual Income]]-Data[[#This Row],[Actual Expense]], Data[[#This Row],[Actual Income]])</f>
        <v>-10685.117499999997</v>
      </c>
      <c r="J451" s="1">
        <f>IF(Data[[#This Row],[Category]]="Savings or Investments", Data[[#This Row],[Actual Expense]],0)</f>
        <v>0</v>
      </c>
    </row>
    <row r="452" spans="1:11" x14ac:dyDescent="0.2">
      <c r="A452" s="5" t="str">
        <f>TEXT(Data[[#This Row],[Date]],"yyyy")</f>
        <v>2021</v>
      </c>
      <c r="B452" s="5" t="str">
        <f>TEXT(Data[[#This Row],[Date]],"mmm")</f>
        <v>Aug</v>
      </c>
      <c r="C452" s="3">
        <v>44409</v>
      </c>
      <c r="D452" t="s">
        <v>317</v>
      </c>
      <c r="E452" t="s">
        <v>31</v>
      </c>
      <c r="F452" t="s">
        <v>55</v>
      </c>
      <c r="G452" s="1">
        <v>12.45</v>
      </c>
      <c r="I452" s="1">
        <f ca="1">IFERROR(OFFSET(Data[[#This Row],[Balance]],-1,0)+Data[[#This Row],[Actual Income]]-Data[[#This Row],[Actual Expense]], Data[[#This Row],[Actual Income]])</f>
        <v>-10697.567499999997</v>
      </c>
      <c r="J452" s="1">
        <f>IF(Data[[#This Row],[Category]]="Savings or Investments", Data[[#This Row],[Actual Expense]],0)</f>
        <v>0</v>
      </c>
      <c r="K452" t="s">
        <v>286</v>
      </c>
    </row>
    <row r="453" spans="1:11" x14ac:dyDescent="0.2">
      <c r="A453" s="5" t="str">
        <f>TEXT(Data[[#This Row],[Date]],"yyyy")</f>
        <v>2021</v>
      </c>
      <c r="B453" s="5" t="str">
        <f>TEXT(Data[[#This Row],[Date]],"mmm")</f>
        <v>Aug</v>
      </c>
      <c r="C453" s="3">
        <v>44409</v>
      </c>
      <c r="D453" t="s">
        <v>423</v>
      </c>
      <c r="E453" t="s">
        <v>44</v>
      </c>
      <c r="F453" t="s">
        <v>19</v>
      </c>
      <c r="G453" s="1">
        <v>5.82</v>
      </c>
      <c r="I453" s="1">
        <f ca="1">IFERROR(OFFSET(Data[[#This Row],[Balance]],-1,0)+Data[[#This Row],[Actual Income]]-Data[[#This Row],[Actual Expense]], Data[[#This Row],[Actual Income]])</f>
        <v>-10703.387499999997</v>
      </c>
      <c r="J453" s="1">
        <f>IF(Data[[#This Row],[Category]]="Savings or Investments", Data[[#This Row],[Actual Expense]],0)</f>
        <v>0</v>
      </c>
      <c r="K453" t="s">
        <v>387</v>
      </c>
    </row>
    <row r="454" spans="1:11" x14ac:dyDescent="0.2">
      <c r="A454" s="5" t="str">
        <f>TEXT(Data[[#This Row],[Date]],"yyyy")</f>
        <v>2021</v>
      </c>
      <c r="B454" s="5" t="str">
        <f>TEXT(Data[[#This Row],[Date]],"mmm")</f>
        <v>Aug</v>
      </c>
      <c r="C454" s="3">
        <v>44410</v>
      </c>
      <c r="D454" t="s">
        <v>469</v>
      </c>
      <c r="E454" t="s">
        <v>53</v>
      </c>
      <c r="F454" t="s">
        <v>373</v>
      </c>
      <c r="G454" s="1">
        <v>3.24</v>
      </c>
      <c r="I454" s="1">
        <f ca="1">IFERROR(OFFSET(Data[[#This Row],[Balance]],-1,0)+Data[[#This Row],[Actual Income]]-Data[[#This Row],[Actual Expense]], Data[[#This Row],[Actual Income]])</f>
        <v>-10706.627499999997</v>
      </c>
      <c r="J454" s="1">
        <f>IF(Data[[#This Row],[Category]]="Savings or Investments", Data[[#This Row],[Actual Expense]],0)</f>
        <v>0</v>
      </c>
      <c r="K454" t="s">
        <v>349</v>
      </c>
    </row>
    <row r="455" spans="1:11" x14ac:dyDescent="0.2">
      <c r="A455" s="5" t="str">
        <f>TEXT(Data[[#This Row],[Date]],"yyyy")</f>
        <v>2021</v>
      </c>
      <c r="B455" s="5" t="str">
        <f>TEXT(Data[[#This Row],[Date]],"mmm")</f>
        <v>Aug</v>
      </c>
      <c r="C455" s="3">
        <v>44410</v>
      </c>
      <c r="D455" t="s">
        <v>470</v>
      </c>
      <c r="E455" t="s">
        <v>31</v>
      </c>
      <c r="F455" t="s">
        <v>30</v>
      </c>
      <c r="G455" s="1">
        <v>-29</v>
      </c>
      <c r="H455" s="1"/>
      <c r="I455" s="1">
        <f ca="1">IFERROR(OFFSET(Data[[#This Row],[Balance]],-1,0)+Data[[#This Row],[Actual Income]]-Data[[#This Row],[Actual Expense]], Data[[#This Row],[Actual Income]])</f>
        <v>-10677.627499999997</v>
      </c>
      <c r="J455" s="1">
        <f>IF(Data[[#This Row],[Category]]="Savings or Investments", Data[[#This Row],[Actual Expense]],0)</f>
        <v>0</v>
      </c>
      <c r="K455" t="s">
        <v>349</v>
      </c>
    </row>
    <row r="456" spans="1:11" x14ac:dyDescent="0.2">
      <c r="A456" s="5" t="str">
        <f>TEXT(Data[[#This Row],[Date]],"yyyy")</f>
        <v>2021</v>
      </c>
      <c r="B456" s="5" t="str">
        <f>TEXT(Data[[#This Row],[Date]],"mmm")</f>
        <v>Aug</v>
      </c>
      <c r="C456" s="3">
        <v>44410</v>
      </c>
      <c r="D456" t="s">
        <v>393</v>
      </c>
      <c r="E456" t="s">
        <v>31</v>
      </c>
      <c r="F456" t="s">
        <v>29</v>
      </c>
      <c r="G456" s="1">
        <v>79.260000000000005</v>
      </c>
      <c r="I456" s="1">
        <f ca="1">IFERROR(OFFSET(Data[[#This Row],[Balance]],-1,0)+Data[[#This Row],[Actual Income]]-Data[[#This Row],[Actual Expense]], Data[[#This Row],[Actual Income]])</f>
        <v>-10756.887499999997</v>
      </c>
      <c r="J456" s="1">
        <f>IF(Data[[#This Row],[Category]]="Savings or Investments", Data[[#This Row],[Actual Expense]],0)</f>
        <v>0</v>
      </c>
      <c r="K456" t="s">
        <v>286</v>
      </c>
    </row>
    <row r="457" spans="1:11" x14ac:dyDescent="0.2">
      <c r="A457" s="5" t="str">
        <f>TEXT(Data[[#This Row],[Date]],"yyyy")</f>
        <v>2021</v>
      </c>
      <c r="B457" s="5" t="str">
        <f>TEXT(Data[[#This Row],[Date]],"mmm")</f>
        <v>Aug</v>
      </c>
      <c r="C457" s="3">
        <v>44411</v>
      </c>
      <c r="D457" t="s">
        <v>391</v>
      </c>
      <c r="E457" t="s">
        <v>44</v>
      </c>
      <c r="F457" t="s">
        <v>19</v>
      </c>
      <c r="G457" s="1">
        <v>32.369999999999997</v>
      </c>
      <c r="I457" s="1">
        <f ca="1">IFERROR(OFFSET(Data[[#This Row],[Balance]],-1,0)+Data[[#This Row],[Actual Income]]-Data[[#This Row],[Actual Expense]], Data[[#This Row],[Actual Income]])</f>
        <v>-10789.257499999998</v>
      </c>
      <c r="J457" s="1">
        <f>IF(Data[[#This Row],[Category]]="Savings or Investments", Data[[#This Row],[Actual Expense]],0)</f>
        <v>0</v>
      </c>
      <c r="K457" t="s">
        <v>286</v>
      </c>
    </row>
    <row r="458" spans="1:11" x14ac:dyDescent="0.2">
      <c r="A458" s="5" t="str">
        <f>TEXT(Data[[#This Row],[Date]],"yyyy")</f>
        <v>2021</v>
      </c>
      <c r="B458" s="5" t="str">
        <f>TEXT(Data[[#This Row],[Date]],"mmm")</f>
        <v>Aug</v>
      </c>
      <c r="C458" s="3">
        <v>44411</v>
      </c>
      <c r="D458" t="s">
        <v>392</v>
      </c>
      <c r="E458" t="s">
        <v>31</v>
      </c>
      <c r="F458" t="s">
        <v>30</v>
      </c>
      <c r="G458" s="1">
        <v>44.1</v>
      </c>
      <c r="I458" s="1">
        <f ca="1">IFERROR(OFFSET(Data[[#This Row],[Balance]],-1,0)+Data[[#This Row],[Actual Income]]-Data[[#This Row],[Actual Expense]], Data[[#This Row],[Actual Income]])</f>
        <v>-10833.357499999998</v>
      </c>
      <c r="J458" s="1">
        <f>IF(Data[[#This Row],[Category]]="Savings or Investments", Data[[#This Row],[Actual Expense]],0)</f>
        <v>0</v>
      </c>
      <c r="K458" t="s">
        <v>286</v>
      </c>
    </row>
    <row r="459" spans="1:11" x14ac:dyDescent="0.2">
      <c r="A459" s="5" t="str">
        <f>TEXT(Data[[#This Row],[Date]],"yyyy")</f>
        <v>2021</v>
      </c>
      <c r="B459" s="5" t="str">
        <f>TEXT(Data[[#This Row],[Date]],"mmm")</f>
        <v>Aug</v>
      </c>
      <c r="C459" s="3">
        <v>44411</v>
      </c>
      <c r="D459" t="s">
        <v>365</v>
      </c>
      <c r="E459" t="s">
        <v>48</v>
      </c>
      <c r="F459" t="s">
        <v>130</v>
      </c>
      <c r="G459" s="1">
        <v>100</v>
      </c>
      <c r="I459" s="1">
        <f ca="1">IFERROR(OFFSET(Data[[#This Row],[Balance]],-1,0)+Data[[#This Row],[Actual Income]]-Data[[#This Row],[Actual Expense]], Data[[#This Row],[Actual Income]])</f>
        <v>-10933.357499999998</v>
      </c>
      <c r="J459" s="1">
        <f>IF(Data[[#This Row],[Category]]="Savings or Investments", Data[[#This Row],[Actual Expense]],0)</f>
        <v>100</v>
      </c>
      <c r="K459" t="s">
        <v>349</v>
      </c>
    </row>
    <row r="460" spans="1:11" x14ac:dyDescent="0.2">
      <c r="A460" s="5" t="str">
        <f>TEXT(Data[[#This Row],[Date]],"yyyy")</f>
        <v>2021</v>
      </c>
      <c r="B460" s="5" t="str">
        <f>TEXT(Data[[#This Row],[Date]],"mmm")</f>
        <v>Aug</v>
      </c>
      <c r="C460" s="3">
        <v>44411</v>
      </c>
      <c r="D460" t="s">
        <v>468</v>
      </c>
      <c r="E460" t="s">
        <v>49</v>
      </c>
      <c r="F460" t="s">
        <v>154</v>
      </c>
      <c r="G460" s="1">
        <v>100</v>
      </c>
      <c r="I460" s="1">
        <f ca="1">IFERROR(OFFSET(Data[[#This Row],[Balance]],-1,0)+Data[[#This Row],[Actual Income]]-Data[[#This Row],[Actual Expense]], Data[[#This Row],[Actual Income]])</f>
        <v>-11033.357499999998</v>
      </c>
      <c r="J460" s="1">
        <f>IF(Data[[#This Row],[Category]]="Savings or Investments", Data[[#This Row],[Actual Expense]],0)</f>
        <v>0</v>
      </c>
      <c r="K460" t="s">
        <v>349</v>
      </c>
    </row>
    <row r="461" spans="1:11" x14ac:dyDescent="0.2">
      <c r="A461" s="5" t="str">
        <f>TEXT(Data[[#This Row],[Date]],"yyyy")</f>
        <v>2021</v>
      </c>
      <c r="B461" s="5" t="str">
        <f>TEXT(Data[[#This Row],[Date]],"mmm")</f>
        <v>Aug</v>
      </c>
      <c r="C461" s="3">
        <v>44412</v>
      </c>
      <c r="D461" t="s">
        <v>320</v>
      </c>
      <c r="E461" t="s">
        <v>31</v>
      </c>
      <c r="F461" t="s">
        <v>30</v>
      </c>
      <c r="G461" s="1">
        <v>90.78</v>
      </c>
      <c r="I461" s="1">
        <f ca="1">IFERROR(OFFSET(Data[[#This Row],[Balance]],-1,0)+Data[[#This Row],[Actual Income]]-Data[[#This Row],[Actual Expense]], Data[[#This Row],[Actual Income]])</f>
        <v>-11124.137499999999</v>
      </c>
      <c r="J461" s="1">
        <f>IF(Data[[#This Row],[Category]]="Savings or Investments", Data[[#This Row],[Actual Expense]],0)</f>
        <v>0</v>
      </c>
      <c r="K461" t="s">
        <v>286</v>
      </c>
    </row>
    <row r="462" spans="1:11" x14ac:dyDescent="0.2">
      <c r="A462" s="5" t="str">
        <f>TEXT(Data[[#This Row],[Date]],"yyyy")</f>
        <v>2021</v>
      </c>
      <c r="B462" s="5" t="str">
        <f>TEXT(Data[[#This Row],[Date]],"mmm")</f>
        <v>Aug</v>
      </c>
      <c r="C462" s="3">
        <v>44412</v>
      </c>
      <c r="D462" t="s">
        <v>466</v>
      </c>
      <c r="E462" t="s">
        <v>48</v>
      </c>
      <c r="F462" t="s">
        <v>70</v>
      </c>
      <c r="G462" s="1">
        <v>200</v>
      </c>
      <c r="I462" s="1">
        <f ca="1">IFERROR(OFFSET(Data[[#This Row],[Balance]],-1,0)+Data[[#This Row],[Actual Income]]-Data[[#This Row],[Actual Expense]], Data[[#This Row],[Actual Income]])</f>
        <v>-11324.137499999999</v>
      </c>
      <c r="J462" s="1">
        <f>IF(Data[[#This Row],[Category]]="Savings or Investments", Data[[#This Row],[Actual Expense]],0)</f>
        <v>200</v>
      </c>
      <c r="K462" t="s">
        <v>349</v>
      </c>
    </row>
    <row r="463" spans="1:11" x14ac:dyDescent="0.2">
      <c r="A463" s="5" t="str">
        <f>TEXT(Data[[#This Row],[Date]],"yyyy")</f>
        <v>2021</v>
      </c>
      <c r="B463" s="5" t="str">
        <f>TEXT(Data[[#This Row],[Date]],"mmm")</f>
        <v>Aug</v>
      </c>
      <c r="C463" s="3">
        <v>44412</v>
      </c>
      <c r="D463" t="s">
        <v>467</v>
      </c>
      <c r="E463" t="s">
        <v>31</v>
      </c>
      <c r="F463" t="s">
        <v>30</v>
      </c>
      <c r="G463" s="1">
        <v>-45.39</v>
      </c>
      <c r="H463" s="1"/>
      <c r="I463" s="1">
        <f ca="1">IFERROR(OFFSET(Data[[#This Row],[Balance]],-1,0)+Data[[#This Row],[Actual Income]]-Data[[#This Row],[Actual Expense]], Data[[#This Row],[Actual Income]])</f>
        <v>-11278.747499999999</v>
      </c>
      <c r="J463" s="1">
        <f>IF(Data[[#This Row],[Category]]="Savings or Investments", Data[[#This Row],[Actual Expense]],0)</f>
        <v>0</v>
      </c>
      <c r="K463" t="s">
        <v>349</v>
      </c>
    </row>
    <row r="464" spans="1:11" x14ac:dyDescent="0.2">
      <c r="A464" s="5" t="str">
        <f>TEXT(Data[[#This Row],[Date]],"yyyy")</f>
        <v>2021</v>
      </c>
      <c r="B464" s="5" t="str">
        <f>TEXT(Data[[#This Row],[Date]],"mmm")</f>
        <v>Aug</v>
      </c>
      <c r="C464" s="3">
        <v>44414</v>
      </c>
      <c r="D464" t="s">
        <v>482</v>
      </c>
      <c r="E464" t="s">
        <v>31</v>
      </c>
      <c r="F464" t="s">
        <v>30</v>
      </c>
      <c r="G464" s="1">
        <v>11.37</v>
      </c>
      <c r="I464" s="1">
        <f ca="1">IFERROR(OFFSET(Data[[#This Row],[Balance]],-1,0)+Data[[#This Row],[Actual Income]]-Data[[#This Row],[Actual Expense]], Data[[#This Row],[Actual Income]])</f>
        <v>-11290.1175</v>
      </c>
      <c r="J464" s="1">
        <f>IF(Data[[#This Row],[Category]]="Savings or Investments", Data[[#This Row],[Actual Expense]],0)</f>
        <v>0</v>
      </c>
      <c r="K464" t="s">
        <v>286</v>
      </c>
    </row>
    <row r="465" spans="1:11" x14ac:dyDescent="0.2">
      <c r="A465" s="5" t="str">
        <f>TEXT(Data[[#This Row],[Date]],"yyyy")</f>
        <v>2021</v>
      </c>
      <c r="B465" s="5" t="str">
        <f>TEXT(Data[[#This Row],[Date]],"mmm")</f>
        <v>Aug</v>
      </c>
      <c r="C465" s="3">
        <v>44415</v>
      </c>
      <c r="D465" t="s">
        <v>390</v>
      </c>
      <c r="E465" t="s">
        <v>31</v>
      </c>
      <c r="F465" t="s">
        <v>29</v>
      </c>
      <c r="G465" s="1">
        <v>53.95</v>
      </c>
      <c r="I465" s="1">
        <f ca="1">IFERROR(OFFSET(Data[[#This Row],[Balance]],-1,0)+Data[[#This Row],[Actual Income]]-Data[[#This Row],[Actual Expense]], Data[[#This Row],[Actual Income]])</f>
        <v>-11344.067500000001</v>
      </c>
      <c r="J465" s="1">
        <f>IF(Data[[#This Row],[Category]]="Savings or Investments", Data[[#This Row],[Actual Expense]],0)</f>
        <v>0</v>
      </c>
      <c r="K465" t="s">
        <v>286</v>
      </c>
    </row>
    <row r="466" spans="1:11" x14ac:dyDescent="0.2">
      <c r="A466" s="5" t="str">
        <f>TEXT(Data[[#This Row],[Date]],"yyyy")</f>
        <v>2021</v>
      </c>
      <c r="B466" s="5" t="str">
        <f>TEXT(Data[[#This Row],[Date]],"mmm")</f>
        <v>Aug</v>
      </c>
      <c r="C466" s="3">
        <v>44415</v>
      </c>
      <c r="D466" t="s">
        <v>479</v>
      </c>
      <c r="E466" t="s">
        <v>31</v>
      </c>
      <c r="F466" t="s">
        <v>30</v>
      </c>
      <c r="G466" s="1">
        <v>50</v>
      </c>
      <c r="I466" s="1">
        <f ca="1">IFERROR(OFFSET(Data[[#This Row],[Balance]],-1,0)+Data[[#This Row],[Actual Income]]-Data[[#This Row],[Actual Expense]], Data[[#This Row],[Actual Income]])</f>
        <v>-11394.067500000001</v>
      </c>
      <c r="J466" s="1">
        <f>IF(Data[[#This Row],[Category]]="Savings or Investments", Data[[#This Row],[Actual Expense]],0)</f>
        <v>0</v>
      </c>
      <c r="K466" t="s">
        <v>286</v>
      </c>
    </row>
    <row r="467" spans="1:11" x14ac:dyDescent="0.2">
      <c r="A467" s="5" t="str">
        <f>TEXT(Data[[#This Row],[Date]],"yyyy")</f>
        <v>2021</v>
      </c>
      <c r="B467" s="5" t="str">
        <f>TEXT(Data[[#This Row],[Date]],"mmm")</f>
        <v>Aug</v>
      </c>
      <c r="C467" s="3">
        <v>44415</v>
      </c>
      <c r="D467" t="s">
        <v>480</v>
      </c>
      <c r="E467" t="s">
        <v>31</v>
      </c>
      <c r="F467" t="s">
        <v>30</v>
      </c>
      <c r="G467" s="1">
        <v>13.85</v>
      </c>
      <c r="I467" s="1">
        <f ca="1">IFERROR(OFFSET(Data[[#This Row],[Balance]],-1,0)+Data[[#This Row],[Actual Income]]-Data[[#This Row],[Actual Expense]], Data[[#This Row],[Actual Income]])</f>
        <v>-11407.917500000001</v>
      </c>
      <c r="J467" s="1">
        <f>IF(Data[[#This Row],[Category]]="Savings or Investments", Data[[#This Row],[Actual Expense]],0)</f>
        <v>0</v>
      </c>
      <c r="K467" t="s">
        <v>286</v>
      </c>
    </row>
    <row r="468" spans="1:11" x14ac:dyDescent="0.2">
      <c r="A468" s="5" t="str">
        <f>TEXT(Data[[#This Row],[Date]],"yyyy")</f>
        <v>2021</v>
      </c>
      <c r="B468" s="5" t="str">
        <f>TEXT(Data[[#This Row],[Date]],"mmm")</f>
        <v>Aug</v>
      </c>
      <c r="C468" s="3">
        <v>44415</v>
      </c>
      <c r="D468" t="s">
        <v>317</v>
      </c>
      <c r="E468" t="s">
        <v>31</v>
      </c>
      <c r="F468" t="s">
        <v>55</v>
      </c>
      <c r="G468" s="1">
        <v>6.84</v>
      </c>
      <c r="I468" s="1">
        <f ca="1">IFERROR(OFFSET(Data[[#This Row],[Balance]],-1,0)+Data[[#This Row],[Actual Income]]-Data[[#This Row],[Actual Expense]], Data[[#This Row],[Actual Income]])</f>
        <v>-11414.757500000002</v>
      </c>
      <c r="J468" s="1">
        <f>IF(Data[[#This Row],[Category]]="Savings or Investments", Data[[#This Row],[Actual Expense]],0)</f>
        <v>0</v>
      </c>
      <c r="K468" t="s">
        <v>286</v>
      </c>
    </row>
    <row r="469" spans="1:11" x14ac:dyDescent="0.2">
      <c r="A469" s="5" t="str">
        <f>TEXT(Data[[#This Row],[Date]],"yyyy")</f>
        <v>2021</v>
      </c>
      <c r="B469" s="5" t="str">
        <f>TEXT(Data[[#This Row],[Date]],"mmm")</f>
        <v>Aug</v>
      </c>
      <c r="C469" s="3">
        <v>44416</v>
      </c>
      <c r="D469" t="s">
        <v>481</v>
      </c>
      <c r="E469" t="s">
        <v>31</v>
      </c>
      <c r="F469" t="s">
        <v>55</v>
      </c>
      <c r="G469" s="1">
        <v>10.72</v>
      </c>
      <c r="I469" s="1">
        <f ca="1">IFERROR(OFFSET(Data[[#This Row],[Balance]],-1,0)+Data[[#This Row],[Actual Income]]-Data[[#This Row],[Actual Expense]], Data[[#This Row],[Actual Income]])</f>
        <v>-11425.477500000001</v>
      </c>
      <c r="J469" s="1">
        <f>IF(Data[[#This Row],[Category]]="Savings or Investments", Data[[#This Row],[Actual Expense]],0)</f>
        <v>0</v>
      </c>
      <c r="K469" t="s">
        <v>286</v>
      </c>
    </row>
    <row r="470" spans="1:11" x14ac:dyDescent="0.2">
      <c r="A470" s="5" t="str">
        <f>TEXT(Data[[#This Row],[Date]],"yyyy")</f>
        <v>2021</v>
      </c>
      <c r="B470" s="5" t="str">
        <f>TEXT(Data[[#This Row],[Date]],"mmm")</f>
        <v>Aug</v>
      </c>
      <c r="C470" s="3">
        <v>44417</v>
      </c>
      <c r="D470" t="s">
        <v>462</v>
      </c>
      <c r="E470" t="s">
        <v>48</v>
      </c>
      <c r="F470" t="s">
        <v>70</v>
      </c>
      <c r="G470" s="1">
        <v>200</v>
      </c>
      <c r="I470" s="1">
        <f ca="1">IFERROR(OFFSET(Data[[#This Row],[Balance]],-1,0)+Data[[#This Row],[Actual Income]]-Data[[#This Row],[Actual Expense]], Data[[#This Row],[Actual Income]])</f>
        <v>-11625.477500000001</v>
      </c>
      <c r="J470" s="1">
        <f>IF(Data[[#This Row],[Category]]="Savings or Investments", Data[[#This Row],[Actual Expense]],0)</f>
        <v>200</v>
      </c>
      <c r="K470" t="s">
        <v>349</v>
      </c>
    </row>
    <row r="471" spans="1:11" x14ac:dyDescent="0.2">
      <c r="A471" s="5" t="str">
        <f>TEXT(Data[[#This Row],[Date]],"yyyy")</f>
        <v>2021</v>
      </c>
      <c r="B471" s="5" t="str">
        <f>TEXT(Data[[#This Row],[Date]],"mmm")</f>
        <v>Aug</v>
      </c>
      <c r="C471" s="3">
        <v>44417</v>
      </c>
      <c r="D471" t="s">
        <v>463</v>
      </c>
      <c r="E471" t="s">
        <v>48</v>
      </c>
      <c r="F471" t="s">
        <v>70</v>
      </c>
      <c r="G471" s="1">
        <v>100</v>
      </c>
      <c r="I471" s="1">
        <f ca="1">IFERROR(OFFSET(Data[[#This Row],[Balance]],-1,0)+Data[[#This Row],[Actual Income]]-Data[[#This Row],[Actual Expense]], Data[[#This Row],[Actual Income]])</f>
        <v>-11725.477500000001</v>
      </c>
      <c r="J471" s="1">
        <f>IF(Data[[#This Row],[Category]]="Savings or Investments", Data[[#This Row],[Actual Expense]],0)</f>
        <v>100</v>
      </c>
      <c r="K471" t="s">
        <v>349</v>
      </c>
    </row>
    <row r="472" spans="1:11" x14ac:dyDescent="0.2">
      <c r="A472" s="5" t="str">
        <f>TEXT(Data[[#This Row],[Date]],"yyyy")</f>
        <v>2021</v>
      </c>
      <c r="B472" s="5" t="str">
        <f>TEXT(Data[[#This Row],[Date]],"mmm")</f>
        <v>Aug</v>
      </c>
      <c r="C472" s="3">
        <v>44417</v>
      </c>
      <c r="D472" t="s">
        <v>464</v>
      </c>
      <c r="E472" t="s">
        <v>48</v>
      </c>
      <c r="F472" t="s">
        <v>27</v>
      </c>
      <c r="G472" s="1">
        <v>500</v>
      </c>
      <c r="I472" s="1">
        <f ca="1">IFERROR(OFFSET(Data[[#This Row],[Balance]],-1,0)+Data[[#This Row],[Actual Income]]-Data[[#This Row],[Actual Expense]], Data[[#This Row],[Actual Income]])</f>
        <v>-12225.477500000001</v>
      </c>
      <c r="J472" s="1">
        <f>IF(Data[[#This Row],[Category]]="Savings or Investments", Data[[#This Row],[Actual Expense]],0)</f>
        <v>500</v>
      </c>
      <c r="K472" t="s">
        <v>349</v>
      </c>
    </row>
    <row r="473" spans="1:11" x14ac:dyDescent="0.2">
      <c r="A473" s="5" t="str">
        <f>TEXT(Data[[#This Row],[Date]],"yyyy")</f>
        <v>2021</v>
      </c>
      <c r="B473" s="5" t="str">
        <f>TEXT(Data[[#This Row],[Date]],"mmm")</f>
        <v>Aug</v>
      </c>
      <c r="C473" s="3">
        <v>44417</v>
      </c>
      <c r="D473" t="s">
        <v>465</v>
      </c>
      <c r="E473" t="s">
        <v>44</v>
      </c>
      <c r="F473" t="s">
        <v>15</v>
      </c>
      <c r="G473" s="1">
        <v>419.69</v>
      </c>
      <c r="I473" s="1">
        <f ca="1">IFERROR(OFFSET(Data[[#This Row],[Balance]],-1,0)+Data[[#This Row],[Actual Income]]-Data[[#This Row],[Actual Expense]], Data[[#This Row],[Actual Income]])</f>
        <v>-12645.167500000001</v>
      </c>
      <c r="J473" s="1">
        <f>IF(Data[[#This Row],[Category]]="Savings or Investments", Data[[#This Row],[Actual Expense]],0)</f>
        <v>0</v>
      </c>
      <c r="K473" t="s">
        <v>349</v>
      </c>
    </row>
    <row r="474" spans="1:11" x14ac:dyDescent="0.2">
      <c r="A474" s="5" t="str">
        <f>TEXT(Data[[#This Row],[Date]],"yyyy")</f>
        <v>2021</v>
      </c>
      <c r="B474" s="5" t="str">
        <f>TEXT(Data[[#This Row],[Date]],"mmm")</f>
        <v>Aug</v>
      </c>
      <c r="C474" s="3">
        <v>44417</v>
      </c>
      <c r="D474" t="s">
        <v>322</v>
      </c>
      <c r="E474" t="s">
        <v>31</v>
      </c>
      <c r="F474" t="s">
        <v>30</v>
      </c>
      <c r="G474" s="1">
        <v>13.56</v>
      </c>
      <c r="I474" s="1">
        <f ca="1">IFERROR(OFFSET(Data[[#This Row],[Balance]],-1,0)+Data[[#This Row],[Actual Income]]-Data[[#This Row],[Actual Expense]], Data[[#This Row],[Actual Income]])</f>
        <v>-12658.727500000001</v>
      </c>
      <c r="J474" s="1">
        <f>IF(Data[[#This Row],[Category]]="Savings or Investments", Data[[#This Row],[Actual Expense]],0)</f>
        <v>0</v>
      </c>
      <c r="K474" t="s">
        <v>286</v>
      </c>
    </row>
    <row r="475" spans="1:11" x14ac:dyDescent="0.2">
      <c r="A475" s="5" t="str">
        <f>TEXT(Data[[#This Row],[Date]],"yyyy")</f>
        <v>2021</v>
      </c>
      <c r="B475" s="5" t="str">
        <f>TEXT(Data[[#This Row],[Date]],"mmm")</f>
        <v>Aug</v>
      </c>
      <c r="C475" s="3">
        <v>44417</v>
      </c>
      <c r="D475" t="s">
        <v>317</v>
      </c>
      <c r="E475" t="s">
        <v>31</v>
      </c>
      <c r="F475" t="s">
        <v>55</v>
      </c>
      <c r="G475" s="1">
        <v>7.02</v>
      </c>
      <c r="I475" s="1">
        <f ca="1">IFERROR(OFFSET(Data[[#This Row],[Balance]],-1,0)+Data[[#This Row],[Actual Income]]-Data[[#This Row],[Actual Expense]], Data[[#This Row],[Actual Income]])</f>
        <v>-12665.747500000001</v>
      </c>
      <c r="J475" s="1">
        <f>IF(Data[[#This Row],[Category]]="Savings or Investments", Data[[#This Row],[Actual Expense]],0)</f>
        <v>0</v>
      </c>
      <c r="K475" t="s">
        <v>286</v>
      </c>
    </row>
    <row r="476" spans="1:11" x14ac:dyDescent="0.2">
      <c r="A476" s="5" t="str">
        <f>TEXT(Data[[#This Row],[Date]],"yyyy")</f>
        <v>2021</v>
      </c>
      <c r="B476" s="5" t="str">
        <f>TEXT(Data[[#This Row],[Date]],"mmm")</f>
        <v>Aug</v>
      </c>
      <c r="C476" s="3">
        <v>44418</v>
      </c>
      <c r="D476" t="s">
        <v>422</v>
      </c>
      <c r="E476" t="s">
        <v>31</v>
      </c>
      <c r="F476" t="s">
        <v>30</v>
      </c>
      <c r="G476" s="1">
        <v>20.89</v>
      </c>
      <c r="I476" s="1">
        <f ca="1">IFERROR(OFFSET(Data[[#This Row],[Balance]],-1,0)+Data[[#This Row],[Actual Income]]-Data[[#This Row],[Actual Expense]], Data[[#This Row],[Actual Income]])</f>
        <v>-12686.637500000001</v>
      </c>
      <c r="J476" s="1">
        <f>IF(Data[[#This Row],[Category]]="Savings or Investments", Data[[#This Row],[Actual Expense]],0)</f>
        <v>0</v>
      </c>
      <c r="K476" t="s">
        <v>387</v>
      </c>
    </row>
    <row r="477" spans="1:11" x14ac:dyDescent="0.2">
      <c r="A477" s="5" t="str">
        <f>TEXT(Data[[#This Row],[Date]],"yyyy")</f>
        <v>2021</v>
      </c>
      <c r="B477" s="5" t="str">
        <f>TEXT(Data[[#This Row],[Date]],"mmm")</f>
        <v>Aug</v>
      </c>
      <c r="C477" s="3">
        <v>44418</v>
      </c>
      <c r="D477" t="s">
        <v>407</v>
      </c>
      <c r="E477" t="s">
        <v>31</v>
      </c>
      <c r="F477" t="s">
        <v>55</v>
      </c>
      <c r="G477" s="1">
        <v>13.75</v>
      </c>
      <c r="I477" s="1">
        <f ca="1">IFERROR(OFFSET(Data[[#This Row],[Balance]],-1,0)+Data[[#This Row],[Actual Income]]-Data[[#This Row],[Actual Expense]], Data[[#This Row],[Actual Income]])</f>
        <v>-12700.387500000001</v>
      </c>
      <c r="J477" s="1">
        <f>IF(Data[[#This Row],[Category]]="Savings or Investments", Data[[#This Row],[Actual Expense]],0)</f>
        <v>0</v>
      </c>
      <c r="K477" t="s">
        <v>387</v>
      </c>
    </row>
    <row r="478" spans="1:11" x14ac:dyDescent="0.2">
      <c r="A478" s="5" t="str">
        <f>TEXT(Data[[#This Row],[Date]],"yyyy")</f>
        <v>2021</v>
      </c>
      <c r="B478" s="5" t="str">
        <f>TEXT(Data[[#This Row],[Date]],"mmm")</f>
        <v>Aug</v>
      </c>
      <c r="C478" s="3">
        <v>44418</v>
      </c>
      <c r="D478" t="s">
        <v>461</v>
      </c>
      <c r="E478" t="s">
        <v>81</v>
      </c>
      <c r="F478" t="s">
        <v>178</v>
      </c>
      <c r="G478" s="1"/>
      <c r="H478" s="1">
        <v>2.41</v>
      </c>
      <c r="I478" s="1">
        <f ca="1">IFERROR(OFFSET(Data[[#This Row],[Balance]],-1,0)+Data[[#This Row],[Actual Income]]-Data[[#This Row],[Actual Expense]], Data[[#This Row],[Actual Income]])</f>
        <v>-12697.977500000001</v>
      </c>
      <c r="J478" s="1">
        <f>IF(Data[[#This Row],[Category]]="Savings or Investments", Data[[#This Row],[Actual Expense]],0)</f>
        <v>0</v>
      </c>
      <c r="K478" t="s">
        <v>349</v>
      </c>
    </row>
    <row r="479" spans="1:11" x14ac:dyDescent="0.2">
      <c r="A479" s="5" t="str">
        <f>TEXT(Data[[#This Row],[Date]],"yyyy")</f>
        <v>2021</v>
      </c>
      <c r="B479" s="5" t="str">
        <f>TEXT(Data[[#This Row],[Date]],"mmm")</f>
        <v>Aug</v>
      </c>
      <c r="C479" s="3">
        <v>44418</v>
      </c>
      <c r="D479" t="s">
        <v>478</v>
      </c>
      <c r="E479" t="s">
        <v>44</v>
      </c>
      <c r="F479" t="s">
        <v>19</v>
      </c>
      <c r="G479" s="1">
        <v>30.54</v>
      </c>
      <c r="I479" s="1">
        <f ca="1">IFERROR(OFFSET(Data[[#This Row],[Balance]],-1,0)+Data[[#This Row],[Actual Income]]-Data[[#This Row],[Actual Expense]], Data[[#This Row],[Actual Income]])</f>
        <v>-12728.517500000002</v>
      </c>
      <c r="J479" s="1">
        <f>IF(Data[[#This Row],[Category]]="Savings or Investments", Data[[#This Row],[Actual Expense]],0)</f>
        <v>0</v>
      </c>
      <c r="K479" t="s">
        <v>286</v>
      </c>
    </row>
    <row r="480" spans="1:11" x14ac:dyDescent="0.2">
      <c r="A480" s="5" t="str">
        <f>TEXT(Data[[#This Row],[Date]],"yyyy")</f>
        <v>2021</v>
      </c>
      <c r="B480" s="5" t="str">
        <f>TEXT(Data[[#This Row],[Date]],"mmm")</f>
        <v>Aug</v>
      </c>
      <c r="C480" s="3">
        <v>44419</v>
      </c>
      <c r="D480" t="s">
        <v>477</v>
      </c>
      <c r="E480" t="s">
        <v>31</v>
      </c>
      <c r="F480" t="s">
        <v>30</v>
      </c>
      <c r="G480" s="1">
        <v>11.56</v>
      </c>
      <c r="I480" s="1">
        <f ca="1">IFERROR(OFFSET(Data[[#This Row],[Balance]],-1,0)+Data[[#This Row],[Actual Income]]-Data[[#This Row],[Actual Expense]], Data[[#This Row],[Actual Income]])</f>
        <v>-12740.077500000001</v>
      </c>
      <c r="J480" s="1">
        <f>IF(Data[[#This Row],[Category]]="Savings or Investments", Data[[#This Row],[Actual Expense]],0)</f>
        <v>0</v>
      </c>
      <c r="K480" t="s">
        <v>286</v>
      </c>
    </row>
    <row r="481" spans="1:11" x14ac:dyDescent="0.2">
      <c r="A481" s="5" t="str">
        <f>TEXT(Data[[#This Row],[Date]],"yyyy")</f>
        <v>2021</v>
      </c>
      <c r="B481" s="5" t="str">
        <f>TEXT(Data[[#This Row],[Date]],"mmm")</f>
        <v>Aug</v>
      </c>
      <c r="C481" s="3">
        <v>44420</v>
      </c>
      <c r="D481" t="s">
        <v>458</v>
      </c>
      <c r="E481" t="s">
        <v>31</v>
      </c>
      <c r="F481" t="s">
        <v>29</v>
      </c>
      <c r="G481" s="1">
        <v>36.46</v>
      </c>
      <c r="I481" s="1">
        <f ca="1">IFERROR(OFFSET(Data[[#This Row],[Balance]],-1,0)+Data[[#This Row],[Actual Income]]-Data[[#This Row],[Actual Expense]], Data[[#This Row],[Actual Income]])</f>
        <v>-12776.5375</v>
      </c>
      <c r="J481" s="1">
        <f>IF(Data[[#This Row],[Category]]="Savings or Investments", Data[[#This Row],[Actual Expense]],0)</f>
        <v>0</v>
      </c>
      <c r="K481" t="s">
        <v>349</v>
      </c>
    </row>
    <row r="482" spans="1:11" x14ac:dyDescent="0.2">
      <c r="A482" s="5" t="str">
        <f>TEXT(Data[[#This Row],[Date]],"yyyy")</f>
        <v>2021</v>
      </c>
      <c r="B482" s="5" t="str">
        <f>TEXT(Data[[#This Row],[Date]],"mmm")</f>
        <v>Aug</v>
      </c>
      <c r="C482" s="3">
        <v>44420</v>
      </c>
      <c r="D482" t="s">
        <v>459</v>
      </c>
      <c r="E482" t="s">
        <v>49</v>
      </c>
      <c r="F482" t="s">
        <v>298</v>
      </c>
      <c r="G482" s="1">
        <v>500</v>
      </c>
      <c r="I482" s="1">
        <f ca="1">IFERROR(OFFSET(Data[[#This Row],[Balance]],-1,0)+Data[[#This Row],[Actual Income]]-Data[[#This Row],[Actual Expense]], Data[[#This Row],[Actual Income]])</f>
        <v>-13276.5375</v>
      </c>
      <c r="J482" s="1">
        <f>IF(Data[[#This Row],[Category]]="Savings or Investments", Data[[#This Row],[Actual Expense]],0)</f>
        <v>0</v>
      </c>
      <c r="K482" t="s">
        <v>349</v>
      </c>
    </row>
    <row r="483" spans="1:11" x14ac:dyDescent="0.2">
      <c r="A483" s="5" t="str">
        <f>TEXT(Data[[#This Row],[Date]],"yyyy")</f>
        <v>2021</v>
      </c>
      <c r="B483" s="5" t="str">
        <f>TEXT(Data[[#This Row],[Date]],"mmm")</f>
        <v>Aug</v>
      </c>
      <c r="C483" s="3">
        <v>44420</v>
      </c>
      <c r="D483" t="s">
        <v>460</v>
      </c>
      <c r="E483" t="s">
        <v>81</v>
      </c>
      <c r="F483" t="s">
        <v>471</v>
      </c>
      <c r="G483" s="1"/>
      <c r="H483" s="1">
        <v>11</v>
      </c>
      <c r="I483" s="1">
        <f ca="1">IFERROR(OFFSET(Data[[#This Row],[Balance]],-1,0)+Data[[#This Row],[Actual Income]]-Data[[#This Row],[Actual Expense]], Data[[#This Row],[Actual Income]])</f>
        <v>-13265.5375</v>
      </c>
      <c r="J483" s="1">
        <f>IF(Data[[#This Row],[Category]]="Savings or Investments", Data[[#This Row],[Actual Expense]],0)</f>
        <v>0</v>
      </c>
      <c r="K483" t="s">
        <v>349</v>
      </c>
    </row>
    <row r="484" spans="1:11" x14ac:dyDescent="0.2">
      <c r="A484" s="5" t="str">
        <f>TEXT(Data[[#This Row],[Date]],"yyyy")</f>
        <v>2021</v>
      </c>
      <c r="B484" s="5" t="str">
        <f>TEXT(Data[[#This Row],[Date]],"mmm")</f>
        <v>Aug</v>
      </c>
      <c r="C484" s="3">
        <v>44420</v>
      </c>
      <c r="D484" t="s">
        <v>476</v>
      </c>
      <c r="E484" t="s">
        <v>31</v>
      </c>
      <c r="F484" t="s">
        <v>29</v>
      </c>
      <c r="G484" s="1">
        <v>4.21</v>
      </c>
      <c r="I484" s="1">
        <f ca="1">IFERROR(OFFSET(Data[[#This Row],[Balance]],-1,0)+Data[[#This Row],[Actual Income]]-Data[[#This Row],[Actual Expense]], Data[[#This Row],[Actual Income]])</f>
        <v>-13269.747499999999</v>
      </c>
      <c r="J484" s="1">
        <f>IF(Data[[#This Row],[Category]]="Savings or Investments", Data[[#This Row],[Actual Expense]],0)</f>
        <v>0</v>
      </c>
      <c r="K484" t="s">
        <v>286</v>
      </c>
    </row>
    <row r="485" spans="1:11" x14ac:dyDescent="0.2">
      <c r="A485" s="5" t="str">
        <f>TEXT(Data[[#This Row],[Date]],"yyyy")</f>
        <v>2021</v>
      </c>
      <c r="B485" s="5" t="str">
        <f>TEXT(Data[[#This Row],[Date]],"mmm")</f>
        <v>Aug</v>
      </c>
      <c r="C485" s="3">
        <v>44421</v>
      </c>
      <c r="D485" t="s">
        <v>420</v>
      </c>
      <c r="E485" t="s">
        <v>44</v>
      </c>
      <c r="F485" t="s">
        <v>19</v>
      </c>
      <c r="G485" s="1">
        <v>1.83</v>
      </c>
      <c r="I485" s="1">
        <f ca="1">IFERROR(OFFSET(Data[[#This Row],[Balance]],-1,0)+Data[[#This Row],[Actual Income]]-Data[[#This Row],[Actual Expense]], Data[[#This Row],[Actual Income]])</f>
        <v>-13271.577499999999</v>
      </c>
      <c r="J485" s="1">
        <f>IF(Data[[#This Row],[Category]]="Savings or Investments", Data[[#This Row],[Actual Expense]],0)</f>
        <v>0</v>
      </c>
      <c r="K485" t="s">
        <v>387</v>
      </c>
    </row>
    <row r="486" spans="1:11" x14ac:dyDescent="0.2">
      <c r="A486" s="5" t="str">
        <f>TEXT(Data[[#This Row],[Date]],"yyyy")</f>
        <v>2021</v>
      </c>
      <c r="B486" s="5" t="str">
        <f>TEXT(Data[[#This Row],[Date]],"mmm")</f>
        <v>Aug</v>
      </c>
      <c r="C486" s="3">
        <v>44421</v>
      </c>
      <c r="D486" t="s">
        <v>421</v>
      </c>
      <c r="E486" t="s">
        <v>31</v>
      </c>
      <c r="F486" t="s">
        <v>29</v>
      </c>
      <c r="G486" s="1">
        <v>95.73</v>
      </c>
      <c r="I486" s="1">
        <f ca="1">IFERROR(OFFSET(Data[[#This Row],[Balance]],-1,0)+Data[[#This Row],[Actual Income]]-Data[[#This Row],[Actual Expense]], Data[[#This Row],[Actual Income]])</f>
        <v>-13367.307499999999</v>
      </c>
      <c r="J486" s="1">
        <f>IF(Data[[#This Row],[Category]]="Savings or Investments", Data[[#This Row],[Actual Expense]],0)</f>
        <v>0</v>
      </c>
      <c r="K486" t="s">
        <v>387</v>
      </c>
    </row>
    <row r="487" spans="1:11" x14ac:dyDescent="0.2">
      <c r="A487" s="5" t="str">
        <f>TEXT(Data[[#This Row],[Date]],"yyyy")</f>
        <v>2021</v>
      </c>
      <c r="B487" s="5" t="str">
        <f>TEXT(Data[[#This Row],[Date]],"mmm")</f>
        <v>Aug</v>
      </c>
      <c r="C487" s="3">
        <v>44421</v>
      </c>
      <c r="D487" t="s">
        <v>457</v>
      </c>
      <c r="E487" t="s">
        <v>81</v>
      </c>
      <c r="F487" t="s">
        <v>174</v>
      </c>
      <c r="G487" s="1"/>
      <c r="H487" s="1">
        <v>1876.04</v>
      </c>
      <c r="I487" s="1">
        <f ca="1">IFERROR(OFFSET(Data[[#This Row],[Balance]],-1,0)+Data[[#This Row],[Actual Income]]-Data[[#This Row],[Actual Expense]], Data[[#This Row],[Actual Income]])</f>
        <v>-11491.267499999998</v>
      </c>
      <c r="J487" s="1">
        <f>IF(Data[[#This Row],[Category]]="Savings or Investments", Data[[#This Row],[Actual Expense]],0)</f>
        <v>0</v>
      </c>
      <c r="K487" t="s">
        <v>349</v>
      </c>
    </row>
    <row r="488" spans="1:11" x14ac:dyDescent="0.2">
      <c r="A488" s="5" t="str">
        <f>TEXT(Data[[#This Row],[Date]],"yyyy")</f>
        <v>2021</v>
      </c>
      <c r="B488" s="5" t="str">
        <f>TEXT(Data[[#This Row],[Date]],"mmm")</f>
        <v>Aug</v>
      </c>
      <c r="C488" s="3">
        <v>44422</v>
      </c>
      <c r="D488" t="s">
        <v>419</v>
      </c>
      <c r="E488" t="s">
        <v>31</v>
      </c>
      <c r="F488" t="s">
        <v>29</v>
      </c>
      <c r="G488" s="1">
        <v>2.17</v>
      </c>
      <c r="I488" s="1">
        <f ca="1">IFERROR(OFFSET(Data[[#This Row],[Balance]],-1,0)+Data[[#This Row],[Actual Income]]-Data[[#This Row],[Actual Expense]], Data[[#This Row],[Actual Income]])</f>
        <v>-11493.437499999998</v>
      </c>
      <c r="J488" s="1">
        <f>IF(Data[[#This Row],[Category]]="Savings or Investments", Data[[#This Row],[Actual Expense]],0)</f>
        <v>0</v>
      </c>
      <c r="K488" t="s">
        <v>387</v>
      </c>
    </row>
    <row r="489" spans="1:11" x14ac:dyDescent="0.2">
      <c r="A489" s="5" t="str">
        <f>TEXT(Data[[#This Row],[Date]],"yyyy")</f>
        <v>2021</v>
      </c>
      <c r="B489" s="5" t="str">
        <f>TEXT(Data[[#This Row],[Date]],"mmm")</f>
        <v>Aug</v>
      </c>
      <c r="C489" s="3">
        <v>44423</v>
      </c>
      <c r="D489" t="s">
        <v>416</v>
      </c>
      <c r="E489" t="s">
        <v>31</v>
      </c>
      <c r="F489" t="s">
        <v>30</v>
      </c>
      <c r="G489" s="1">
        <v>27.98</v>
      </c>
      <c r="I489" s="1">
        <f ca="1">IFERROR(OFFSET(Data[[#This Row],[Balance]],-1,0)+Data[[#This Row],[Actual Income]]-Data[[#This Row],[Actual Expense]], Data[[#This Row],[Actual Income]])</f>
        <v>-11521.417499999998</v>
      </c>
      <c r="J489" s="1">
        <f>IF(Data[[#This Row],[Category]]="Savings or Investments", Data[[#This Row],[Actual Expense]],0)</f>
        <v>0</v>
      </c>
      <c r="K489" t="s">
        <v>387</v>
      </c>
    </row>
    <row r="490" spans="1:11" x14ac:dyDescent="0.2">
      <c r="A490" s="5" t="str">
        <f>TEXT(Data[[#This Row],[Date]],"yyyy")</f>
        <v>2021</v>
      </c>
      <c r="B490" s="5" t="str">
        <f>TEXT(Data[[#This Row],[Date]],"mmm")</f>
        <v>Aug</v>
      </c>
      <c r="C490" s="3">
        <v>44423</v>
      </c>
      <c r="D490" t="s">
        <v>417</v>
      </c>
      <c r="E490" t="s">
        <v>44</v>
      </c>
      <c r="F490" t="s">
        <v>19</v>
      </c>
      <c r="G490" s="1">
        <v>2</v>
      </c>
      <c r="I490" s="1">
        <f ca="1">IFERROR(OFFSET(Data[[#This Row],[Balance]],-1,0)+Data[[#This Row],[Actual Income]]-Data[[#This Row],[Actual Expense]], Data[[#This Row],[Actual Income]])</f>
        <v>-11523.417499999998</v>
      </c>
      <c r="J490" s="1">
        <f>IF(Data[[#This Row],[Category]]="Savings or Investments", Data[[#This Row],[Actual Expense]],0)</f>
        <v>0</v>
      </c>
      <c r="K490" t="s">
        <v>387</v>
      </c>
    </row>
    <row r="491" spans="1:11" x14ac:dyDescent="0.2">
      <c r="A491" s="5" t="str">
        <f>TEXT(Data[[#This Row],[Date]],"yyyy")</f>
        <v>2021</v>
      </c>
      <c r="B491" s="5" t="str">
        <f>TEXT(Data[[#This Row],[Date]],"mmm")</f>
        <v>Aug</v>
      </c>
      <c r="C491" s="3">
        <v>44423</v>
      </c>
      <c r="D491" t="s">
        <v>417</v>
      </c>
      <c r="E491" t="s">
        <v>44</v>
      </c>
      <c r="F491" t="s">
        <v>19</v>
      </c>
      <c r="G491" s="1">
        <v>2</v>
      </c>
      <c r="I491" s="1">
        <f ca="1">IFERROR(OFFSET(Data[[#This Row],[Balance]],-1,0)+Data[[#This Row],[Actual Income]]-Data[[#This Row],[Actual Expense]], Data[[#This Row],[Actual Income]])</f>
        <v>-11525.417499999998</v>
      </c>
      <c r="J491" s="1">
        <f>IF(Data[[#This Row],[Category]]="Savings or Investments", Data[[#This Row],[Actual Expense]],0)</f>
        <v>0</v>
      </c>
      <c r="K491" t="s">
        <v>387</v>
      </c>
    </row>
    <row r="492" spans="1:11" x14ac:dyDescent="0.2">
      <c r="A492" s="5" t="str">
        <f>TEXT(Data[[#This Row],[Date]],"yyyy")</f>
        <v>2021</v>
      </c>
      <c r="B492" s="5" t="str">
        <f>TEXT(Data[[#This Row],[Date]],"mmm")</f>
        <v>Aug</v>
      </c>
      <c r="C492" s="3">
        <v>44423</v>
      </c>
      <c r="D492" t="s">
        <v>418</v>
      </c>
      <c r="E492" t="s">
        <v>44</v>
      </c>
      <c r="F492" t="s">
        <v>19</v>
      </c>
      <c r="G492" s="1">
        <v>36.35</v>
      </c>
      <c r="I492" s="1">
        <f ca="1">IFERROR(OFFSET(Data[[#This Row],[Balance]],-1,0)+Data[[#This Row],[Actual Income]]-Data[[#This Row],[Actual Expense]], Data[[#This Row],[Actual Income]])</f>
        <v>-11561.767499999998</v>
      </c>
      <c r="J492" s="1">
        <f>IF(Data[[#This Row],[Category]]="Savings or Investments", Data[[#This Row],[Actual Expense]],0)</f>
        <v>0</v>
      </c>
      <c r="K492" t="s">
        <v>387</v>
      </c>
    </row>
    <row r="493" spans="1:11" x14ac:dyDescent="0.2">
      <c r="A493" s="5" t="str">
        <f>TEXT(Data[[#This Row],[Date]],"yyyy")</f>
        <v>2021</v>
      </c>
      <c r="B493" s="5" t="str">
        <f>TEXT(Data[[#This Row],[Date]],"mmm")</f>
        <v>Aug</v>
      </c>
      <c r="C493" s="3">
        <v>44424</v>
      </c>
      <c r="D493" t="s">
        <v>411</v>
      </c>
      <c r="E493" t="s">
        <v>31</v>
      </c>
      <c r="F493" t="s">
        <v>55</v>
      </c>
      <c r="G493" s="1">
        <v>9.9600000000000009</v>
      </c>
      <c r="I493" s="1">
        <f ca="1">IFERROR(OFFSET(Data[[#This Row],[Balance]],-1,0)+Data[[#This Row],[Actual Income]]-Data[[#This Row],[Actual Expense]], Data[[#This Row],[Actual Income]])</f>
        <v>-11571.727499999997</v>
      </c>
      <c r="J493" s="1">
        <f>IF(Data[[#This Row],[Category]]="Savings or Investments", Data[[#This Row],[Actual Expense]],0)</f>
        <v>0</v>
      </c>
      <c r="K493" t="s">
        <v>387</v>
      </c>
    </row>
    <row r="494" spans="1:11" x14ac:dyDescent="0.2">
      <c r="A494" s="5" t="str">
        <f>TEXT(Data[[#This Row],[Date]],"yyyy")</f>
        <v>2021</v>
      </c>
      <c r="B494" s="5" t="str">
        <f>TEXT(Data[[#This Row],[Date]],"mmm")</f>
        <v>Aug</v>
      </c>
      <c r="C494" s="3">
        <v>44424</v>
      </c>
      <c r="D494" t="s">
        <v>451</v>
      </c>
      <c r="E494" t="s">
        <v>48</v>
      </c>
      <c r="F494" t="s">
        <v>70</v>
      </c>
      <c r="G494" s="1">
        <v>200</v>
      </c>
      <c r="I494" s="1">
        <f ca="1">IFERROR(OFFSET(Data[[#This Row],[Balance]],-1,0)+Data[[#This Row],[Actual Income]]-Data[[#This Row],[Actual Expense]], Data[[#This Row],[Actual Income]])</f>
        <v>-11771.727499999997</v>
      </c>
      <c r="J494" s="1">
        <f>IF(Data[[#This Row],[Category]]="Savings or Investments", Data[[#This Row],[Actual Expense]],0)</f>
        <v>200</v>
      </c>
      <c r="K494" t="s">
        <v>349</v>
      </c>
    </row>
    <row r="495" spans="1:11" x14ac:dyDescent="0.2">
      <c r="A495" s="5" t="str">
        <f>TEXT(Data[[#This Row],[Date]],"yyyy")</f>
        <v>2021</v>
      </c>
      <c r="B495" s="5" t="str">
        <f>TEXT(Data[[#This Row],[Date]],"mmm")</f>
        <v>Aug</v>
      </c>
      <c r="C495" s="3">
        <v>44424</v>
      </c>
      <c r="D495" t="s">
        <v>452</v>
      </c>
      <c r="E495" t="s">
        <v>48</v>
      </c>
      <c r="F495" t="s">
        <v>70</v>
      </c>
      <c r="G495" s="1">
        <v>100</v>
      </c>
      <c r="I495" s="1">
        <f ca="1">IFERROR(OFFSET(Data[[#This Row],[Balance]],-1,0)+Data[[#This Row],[Actual Income]]-Data[[#This Row],[Actual Expense]], Data[[#This Row],[Actual Income]])</f>
        <v>-11871.727499999997</v>
      </c>
      <c r="J495" s="1">
        <f>IF(Data[[#This Row],[Category]]="Savings or Investments", Data[[#This Row],[Actual Expense]],0)</f>
        <v>100</v>
      </c>
      <c r="K495" t="s">
        <v>349</v>
      </c>
    </row>
    <row r="496" spans="1:11" x14ac:dyDescent="0.2">
      <c r="A496" s="5" t="str">
        <f>TEXT(Data[[#This Row],[Date]],"yyyy")</f>
        <v>2021</v>
      </c>
      <c r="B496" s="5" t="str">
        <f>TEXT(Data[[#This Row],[Date]],"mmm")</f>
        <v>Aug</v>
      </c>
      <c r="C496" s="3">
        <v>44424</v>
      </c>
      <c r="D496" t="s">
        <v>453</v>
      </c>
      <c r="E496" t="s">
        <v>53</v>
      </c>
      <c r="F496" t="s">
        <v>373</v>
      </c>
      <c r="G496" s="1">
        <v>81.430000000000007</v>
      </c>
      <c r="I496" s="1">
        <f ca="1">IFERROR(OFFSET(Data[[#This Row],[Balance]],-1,0)+Data[[#This Row],[Actual Income]]-Data[[#This Row],[Actual Expense]], Data[[#This Row],[Actual Income]])</f>
        <v>-11953.157499999998</v>
      </c>
      <c r="J496" s="1">
        <f>IF(Data[[#This Row],[Category]]="Savings or Investments", Data[[#This Row],[Actual Expense]],0)</f>
        <v>0</v>
      </c>
      <c r="K496" t="s">
        <v>349</v>
      </c>
    </row>
    <row r="497" spans="1:11" x14ac:dyDescent="0.2">
      <c r="A497" s="5" t="str">
        <f>TEXT(Data[[#This Row],[Date]],"yyyy")</f>
        <v>2021</v>
      </c>
      <c r="B497" s="5" t="str">
        <f>TEXT(Data[[#This Row],[Date]],"mmm")</f>
        <v>Aug</v>
      </c>
      <c r="C497" s="3">
        <v>44424</v>
      </c>
      <c r="D497" t="s">
        <v>454</v>
      </c>
      <c r="E497" t="s">
        <v>49</v>
      </c>
      <c r="F497" t="s">
        <v>298</v>
      </c>
      <c r="G497" s="1">
        <v>500</v>
      </c>
      <c r="I497" s="1">
        <f ca="1">IFERROR(OFFSET(Data[[#This Row],[Balance]],-1,0)+Data[[#This Row],[Actual Income]]-Data[[#This Row],[Actual Expense]], Data[[#This Row],[Actual Income]])</f>
        <v>-12453.157499999998</v>
      </c>
      <c r="J497" s="1">
        <f>IF(Data[[#This Row],[Category]]="Savings or Investments", Data[[#This Row],[Actual Expense]],0)</f>
        <v>0</v>
      </c>
      <c r="K497" t="s">
        <v>349</v>
      </c>
    </row>
    <row r="498" spans="1:11" x14ac:dyDescent="0.2">
      <c r="A498" s="5" t="str">
        <f>TEXT(Data[[#This Row],[Date]],"yyyy")</f>
        <v>2021</v>
      </c>
      <c r="B498" s="5" t="str">
        <f>TEXT(Data[[#This Row],[Date]],"mmm")</f>
        <v>Aug</v>
      </c>
      <c r="C498" s="3">
        <v>44424</v>
      </c>
      <c r="D498" t="s">
        <v>455</v>
      </c>
      <c r="E498" t="s">
        <v>43</v>
      </c>
      <c r="F498" t="s">
        <v>208</v>
      </c>
      <c r="G498" s="1">
        <v>35</v>
      </c>
      <c r="I498" s="1">
        <f ca="1">IFERROR(OFFSET(Data[[#This Row],[Balance]],-1,0)+Data[[#This Row],[Actual Income]]-Data[[#This Row],[Actual Expense]], Data[[#This Row],[Actual Income]])</f>
        <v>-12488.157499999998</v>
      </c>
      <c r="J498" s="1">
        <f>IF(Data[[#This Row],[Category]]="Savings or Investments", Data[[#This Row],[Actual Expense]],0)</f>
        <v>0</v>
      </c>
      <c r="K498" t="s">
        <v>349</v>
      </c>
    </row>
    <row r="499" spans="1:11" x14ac:dyDescent="0.2">
      <c r="A499" s="5" t="str">
        <f>TEXT(Data[[#This Row],[Date]],"yyyy")</f>
        <v>2021</v>
      </c>
      <c r="B499" s="5" t="str">
        <f>TEXT(Data[[#This Row],[Date]],"mmm")</f>
        <v>Aug</v>
      </c>
      <c r="C499" s="3">
        <v>44424</v>
      </c>
      <c r="D499" t="s">
        <v>456</v>
      </c>
      <c r="E499" t="s">
        <v>43</v>
      </c>
      <c r="F499" t="s">
        <v>208</v>
      </c>
      <c r="G499" s="1">
        <v>-20</v>
      </c>
      <c r="H499" s="1"/>
      <c r="I499" s="1">
        <f ca="1">IFERROR(OFFSET(Data[[#This Row],[Balance]],-1,0)+Data[[#This Row],[Actual Income]]-Data[[#This Row],[Actual Expense]], Data[[#This Row],[Actual Income]])</f>
        <v>-12468.157499999998</v>
      </c>
      <c r="J499" s="1">
        <f>IF(Data[[#This Row],[Category]]="Savings or Investments", Data[[#This Row],[Actual Expense]],0)</f>
        <v>0</v>
      </c>
      <c r="K499" t="s">
        <v>349</v>
      </c>
    </row>
    <row r="500" spans="1:11" x14ac:dyDescent="0.2">
      <c r="A500" s="5" t="str">
        <f>TEXT(Data[[#This Row],[Date]],"yyyy")</f>
        <v>2021</v>
      </c>
      <c r="B500" s="5" t="str">
        <f>TEXT(Data[[#This Row],[Date]],"mmm")</f>
        <v>Aug</v>
      </c>
      <c r="C500" s="3">
        <v>44424</v>
      </c>
      <c r="D500" t="s">
        <v>475</v>
      </c>
      <c r="E500" t="s">
        <v>31</v>
      </c>
      <c r="F500" t="s">
        <v>29</v>
      </c>
      <c r="G500" s="1">
        <v>8.06</v>
      </c>
      <c r="I500" s="1">
        <f ca="1">IFERROR(OFFSET(Data[[#This Row],[Balance]],-1,0)+Data[[#This Row],[Actual Income]]-Data[[#This Row],[Actual Expense]], Data[[#This Row],[Actual Income]])</f>
        <v>-12476.217499999997</v>
      </c>
      <c r="J500" s="1">
        <f>IF(Data[[#This Row],[Category]]="Savings or Investments", Data[[#This Row],[Actual Expense]],0)</f>
        <v>0</v>
      </c>
      <c r="K500" t="s">
        <v>286</v>
      </c>
    </row>
    <row r="501" spans="1:11" x14ac:dyDescent="0.2">
      <c r="A501" s="5" t="str">
        <f>TEXT(Data[[#This Row],[Date]],"yyyy")</f>
        <v>2021</v>
      </c>
      <c r="B501" s="5" t="str">
        <f>TEXT(Data[[#This Row],[Date]],"mmm")</f>
        <v>Aug</v>
      </c>
      <c r="C501" s="3">
        <v>44424</v>
      </c>
      <c r="D501" t="s">
        <v>395</v>
      </c>
      <c r="E501" t="s">
        <v>31</v>
      </c>
      <c r="F501" t="s">
        <v>30</v>
      </c>
      <c r="G501" s="1">
        <v>20.02</v>
      </c>
      <c r="I501" s="1">
        <f ca="1">IFERROR(OFFSET(Data[[#This Row],[Balance]],-1,0)+Data[[#This Row],[Actual Income]]-Data[[#This Row],[Actual Expense]], Data[[#This Row],[Actual Income]])</f>
        <v>-12496.237499999997</v>
      </c>
      <c r="J501" s="1">
        <f>IF(Data[[#This Row],[Category]]="Savings or Investments", Data[[#This Row],[Actual Expense]],0)</f>
        <v>0</v>
      </c>
      <c r="K501" t="s">
        <v>286</v>
      </c>
    </row>
    <row r="502" spans="1:11" x14ac:dyDescent="0.2">
      <c r="A502" s="5" t="str">
        <f>TEXT(Data[[#This Row],[Date]],"yyyy")</f>
        <v>2021</v>
      </c>
      <c r="B502" s="5" t="str">
        <f>TEXT(Data[[#This Row],[Date]],"mmm")</f>
        <v>Aug</v>
      </c>
      <c r="C502" s="3">
        <v>44425</v>
      </c>
      <c r="D502" t="s">
        <v>413</v>
      </c>
      <c r="E502" t="s">
        <v>44</v>
      </c>
      <c r="F502" t="s">
        <v>19</v>
      </c>
      <c r="G502" s="1">
        <v>21.64</v>
      </c>
      <c r="I502" s="1">
        <f ca="1">IFERROR(OFFSET(Data[[#This Row],[Balance]],-1,0)+Data[[#This Row],[Actual Income]]-Data[[#This Row],[Actual Expense]], Data[[#This Row],[Actual Income]])</f>
        <v>-12517.877499999997</v>
      </c>
      <c r="J502" s="1">
        <f>IF(Data[[#This Row],[Category]]="Savings or Investments", Data[[#This Row],[Actual Expense]],0)</f>
        <v>0</v>
      </c>
      <c r="K502" t="s">
        <v>387</v>
      </c>
    </row>
    <row r="503" spans="1:11" x14ac:dyDescent="0.2">
      <c r="A503" s="5" t="str">
        <f>TEXT(Data[[#This Row],[Date]],"yyyy")</f>
        <v>2021</v>
      </c>
      <c r="B503" s="5" t="str">
        <f>TEXT(Data[[#This Row],[Date]],"mmm")</f>
        <v>Aug</v>
      </c>
      <c r="C503" s="3">
        <v>44425</v>
      </c>
      <c r="D503" t="s">
        <v>413</v>
      </c>
      <c r="E503" t="s">
        <v>44</v>
      </c>
      <c r="F503" t="s">
        <v>19</v>
      </c>
      <c r="G503" s="1">
        <v>1.99</v>
      </c>
      <c r="I503" s="1">
        <f ca="1">IFERROR(OFFSET(Data[[#This Row],[Balance]],-1,0)+Data[[#This Row],[Actual Income]]-Data[[#This Row],[Actual Expense]], Data[[#This Row],[Actual Income]])</f>
        <v>-12519.867499999997</v>
      </c>
      <c r="J503" s="1">
        <f>IF(Data[[#This Row],[Category]]="Savings or Investments", Data[[#This Row],[Actual Expense]],0)</f>
        <v>0</v>
      </c>
      <c r="K503" t="s">
        <v>387</v>
      </c>
    </row>
    <row r="504" spans="1:11" x14ac:dyDescent="0.2">
      <c r="A504" s="5" t="str">
        <f>TEXT(Data[[#This Row],[Date]],"yyyy")</f>
        <v>2021</v>
      </c>
      <c r="B504" s="5" t="str">
        <f>TEXT(Data[[#This Row],[Date]],"mmm")</f>
        <v>Aug</v>
      </c>
      <c r="C504" s="3">
        <v>44425</v>
      </c>
      <c r="D504" t="s">
        <v>414</v>
      </c>
      <c r="E504" t="s">
        <v>44</v>
      </c>
      <c r="F504" t="s">
        <v>19</v>
      </c>
      <c r="G504" s="1">
        <v>1.79</v>
      </c>
      <c r="I504" s="1">
        <f ca="1">IFERROR(OFFSET(Data[[#This Row],[Balance]],-1,0)+Data[[#This Row],[Actual Income]]-Data[[#This Row],[Actual Expense]], Data[[#This Row],[Actual Income]])</f>
        <v>-12521.657499999998</v>
      </c>
      <c r="J504" s="1">
        <f>IF(Data[[#This Row],[Category]]="Savings or Investments", Data[[#This Row],[Actual Expense]],0)</f>
        <v>0</v>
      </c>
      <c r="K504" t="s">
        <v>387</v>
      </c>
    </row>
    <row r="505" spans="1:11" x14ac:dyDescent="0.2">
      <c r="A505" s="5" t="str">
        <f>TEXT(Data[[#This Row],[Date]],"yyyy")</f>
        <v>2021</v>
      </c>
      <c r="B505" s="5" t="str">
        <f>TEXT(Data[[#This Row],[Date]],"mmm")</f>
        <v>Aug</v>
      </c>
      <c r="C505" s="3">
        <v>44425</v>
      </c>
      <c r="D505" t="s">
        <v>415</v>
      </c>
      <c r="E505" t="s">
        <v>31</v>
      </c>
      <c r="F505" t="s">
        <v>30</v>
      </c>
      <c r="G505" s="1">
        <v>8.09</v>
      </c>
      <c r="I505" s="1">
        <f ca="1">IFERROR(OFFSET(Data[[#This Row],[Balance]],-1,0)+Data[[#This Row],[Actual Income]]-Data[[#This Row],[Actual Expense]], Data[[#This Row],[Actual Income]])</f>
        <v>-12529.747499999998</v>
      </c>
      <c r="J505" s="1">
        <f>IF(Data[[#This Row],[Category]]="Savings or Investments", Data[[#This Row],[Actual Expense]],0)</f>
        <v>0</v>
      </c>
      <c r="K505" t="s">
        <v>387</v>
      </c>
    </row>
    <row r="506" spans="1:11" x14ac:dyDescent="0.2">
      <c r="A506" s="5" t="str">
        <f>TEXT(Data[[#This Row],[Date]],"yyyy")</f>
        <v>2021</v>
      </c>
      <c r="B506" s="5" t="str">
        <f>TEXT(Data[[#This Row],[Date]],"mmm")</f>
        <v>Aug</v>
      </c>
      <c r="C506" s="3">
        <v>44425</v>
      </c>
      <c r="D506" t="s">
        <v>447</v>
      </c>
      <c r="E506" t="s">
        <v>48</v>
      </c>
      <c r="F506" t="s">
        <v>70</v>
      </c>
      <c r="G506" s="1">
        <v>100</v>
      </c>
      <c r="I506" s="1">
        <f ca="1">IFERROR(OFFSET(Data[[#This Row],[Balance]],-1,0)+Data[[#This Row],[Actual Income]]-Data[[#This Row],[Actual Expense]], Data[[#This Row],[Actual Income]])</f>
        <v>-12629.747499999998</v>
      </c>
      <c r="J506" s="1">
        <f>IF(Data[[#This Row],[Category]]="Savings or Investments", Data[[#This Row],[Actual Expense]],0)</f>
        <v>100</v>
      </c>
      <c r="K506" t="s">
        <v>349</v>
      </c>
    </row>
    <row r="507" spans="1:11" x14ac:dyDescent="0.2">
      <c r="A507" s="5" t="str">
        <f>TEXT(Data[[#This Row],[Date]],"yyyy")</f>
        <v>2021</v>
      </c>
      <c r="B507" s="5" t="str">
        <f>TEXT(Data[[#This Row],[Date]],"mmm")</f>
        <v>Aug</v>
      </c>
      <c r="C507" s="3">
        <v>44425</v>
      </c>
      <c r="D507" t="s">
        <v>448</v>
      </c>
      <c r="E507" t="s">
        <v>31</v>
      </c>
      <c r="F507" t="s">
        <v>30</v>
      </c>
      <c r="G507" s="1">
        <v>13.58</v>
      </c>
      <c r="I507" s="1">
        <f ca="1">IFERROR(OFFSET(Data[[#This Row],[Balance]],-1,0)+Data[[#This Row],[Actual Income]]-Data[[#This Row],[Actual Expense]], Data[[#This Row],[Actual Income]])</f>
        <v>-12643.327499999998</v>
      </c>
      <c r="J507" s="1">
        <f>IF(Data[[#This Row],[Category]]="Savings or Investments", Data[[#This Row],[Actual Expense]],0)</f>
        <v>0</v>
      </c>
      <c r="K507" t="s">
        <v>349</v>
      </c>
    </row>
    <row r="508" spans="1:11" x14ac:dyDescent="0.2">
      <c r="A508" s="5" t="str">
        <f>TEXT(Data[[#This Row],[Date]],"yyyy")</f>
        <v>2021</v>
      </c>
      <c r="B508" s="5" t="str">
        <f>TEXT(Data[[#This Row],[Date]],"mmm")</f>
        <v>Aug</v>
      </c>
      <c r="C508" s="3">
        <v>44425</v>
      </c>
      <c r="D508" t="s">
        <v>449</v>
      </c>
      <c r="E508" t="s">
        <v>81</v>
      </c>
      <c r="F508" t="s">
        <v>471</v>
      </c>
      <c r="G508" s="1"/>
      <c r="H508" s="1">
        <v>13</v>
      </c>
      <c r="I508" s="1">
        <f ca="1">IFERROR(OFFSET(Data[[#This Row],[Balance]],-1,0)+Data[[#This Row],[Actual Income]]-Data[[#This Row],[Actual Expense]], Data[[#This Row],[Actual Income]])</f>
        <v>-12630.327499999998</v>
      </c>
      <c r="J508" s="1">
        <f>IF(Data[[#This Row],[Category]]="Savings or Investments", Data[[#This Row],[Actual Expense]],0)</f>
        <v>0</v>
      </c>
      <c r="K508" t="s">
        <v>349</v>
      </c>
    </row>
    <row r="509" spans="1:11" x14ac:dyDescent="0.2">
      <c r="A509" s="5" t="str">
        <f>TEXT(Data[[#This Row],[Date]],"yyyy")</f>
        <v>2021</v>
      </c>
      <c r="B509" s="5" t="str">
        <f>TEXT(Data[[#This Row],[Date]],"mmm")</f>
        <v>Aug</v>
      </c>
      <c r="C509" s="3">
        <v>44425</v>
      </c>
      <c r="D509" t="s">
        <v>450</v>
      </c>
      <c r="E509" t="s">
        <v>81</v>
      </c>
      <c r="F509" t="s">
        <v>471</v>
      </c>
      <c r="G509" s="1"/>
      <c r="H509" s="1">
        <v>108.51</v>
      </c>
      <c r="I509" s="1">
        <f ca="1">IFERROR(OFFSET(Data[[#This Row],[Balance]],-1,0)+Data[[#This Row],[Actual Income]]-Data[[#This Row],[Actual Expense]], Data[[#This Row],[Actual Income]])</f>
        <v>-12521.817499999997</v>
      </c>
      <c r="J509" s="1">
        <f>IF(Data[[#This Row],[Category]]="Savings or Investments", Data[[#This Row],[Actual Expense]],0)</f>
        <v>0</v>
      </c>
      <c r="K509" t="s">
        <v>349</v>
      </c>
    </row>
    <row r="510" spans="1:11" x14ac:dyDescent="0.2">
      <c r="A510" s="5" t="str">
        <f>TEXT(Data[[#This Row],[Date]],"yyyy")</f>
        <v>2021</v>
      </c>
      <c r="B510" s="5" t="str">
        <f>TEXT(Data[[#This Row],[Date]],"mmm")</f>
        <v>Aug</v>
      </c>
      <c r="C510" s="3">
        <v>44426</v>
      </c>
      <c r="D510" t="s">
        <v>412</v>
      </c>
      <c r="E510" t="s">
        <v>11</v>
      </c>
      <c r="F510" t="s">
        <v>197</v>
      </c>
      <c r="G510" s="1">
        <v>17.3</v>
      </c>
      <c r="I510" s="1">
        <f ca="1">IFERROR(OFFSET(Data[[#This Row],[Balance]],-1,0)+Data[[#This Row],[Actual Income]]-Data[[#This Row],[Actual Expense]], Data[[#This Row],[Actual Income]])</f>
        <v>-12539.117499999997</v>
      </c>
      <c r="J510" s="1">
        <f>IF(Data[[#This Row],[Category]]="Savings or Investments", Data[[#This Row],[Actual Expense]],0)</f>
        <v>0</v>
      </c>
      <c r="K510" t="s">
        <v>387</v>
      </c>
    </row>
    <row r="511" spans="1:11" x14ac:dyDescent="0.2">
      <c r="A511" s="5" t="str">
        <f>TEXT(Data[[#This Row],[Date]],"yyyy")</f>
        <v>2021</v>
      </c>
      <c r="B511" s="5" t="str">
        <f>TEXT(Data[[#This Row],[Date]],"mmm")</f>
        <v>Aug</v>
      </c>
      <c r="C511" s="3">
        <v>44427</v>
      </c>
      <c r="D511" t="s">
        <v>375</v>
      </c>
      <c r="E511" t="s">
        <v>31</v>
      </c>
      <c r="F511" t="s">
        <v>30</v>
      </c>
      <c r="G511" s="1">
        <v>35.04</v>
      </c>
      <c r="I511" s="1">
        <f ca="1">IFERROR(OFFSET(Data[[#This Row],[Balance]],-1,0)+Data[[#This Row],[Actual Income]]-Data[[#This Row],[Actual Expense]], Data[[#This Row],[Actual Income]])</f>
        <v>-12574.157499999998</v>
      </c>
      <c r="J511" s="1">
        <f>IF(Data[[#This Row],[Category]]="Savings or Investments", Data[[#This Row],[Actual Expense]],0)</f>
        <v>0</v>
      </c>
      <c r="K511" t="s">
        <v>387</v>
      </c>
    </row>
    <row r="512" spans="1:11" x14ac:dyDescent="0.2">
      <c r="A512" s="5" t="str">
        <f>TEXT(Data[[#This Row],[Date]],"yyyy")</f>
        <v>2021</v>
      </c>
      <c r="B512" s="5" t="str">
        <f>TEXT(Data[[#This Row],[Date]],"mmm")</f>
        <v>Aug</v>
      </c>
      <c r="C512" s="3">
        <v>44427</v>
      </c>
      <c r="D512" t="s">
        <v>376</v>
      </c>
      <c r="E512" t="s">
        <v>31</v>
      </c>
      <c r="F512" t="s">
        <v>55</v>
      </c>
      <c r="G512" s="1">
        <v>12.45</v>
      </c>
      <c r="I512" s="1">
        <f ca="1">IFERROR(OFFSET(Data[[#This Row],[Balance]],-1,0)+Data[[#This Row],[Actual Income]]-Data[[#This Row],[Actual Expense]], Data[[#This Row],[Actual Income]])</f>
        <v>-12586.607499999998</v>
      </c>
      <c r="J512" s="1">
        <f>IF(Data[[#This Row],[Category]]="Savings or Investments", Data[[#This Row],[Actual Expense]],0)</f>
        <v>0</v>
      </c>
      <c r="K512" t="s">
        <v>387</v>
      </c>
    </row>
    <row r="513" spans="1:11" x14ac:dyDescent="0.2">
      <c r="A513" s="5" t="str">
        <f>TEXT(Data[[#This Row],[Date]],"yyyy")</f>
        <v>2021</v>
      </c>
      <c r="B513" s="5" t="str">
        <f>TEXT(Data[[#This Row],[Date]],"mmm")</f>
        <v>Aug</v>
      </c>
      <c r="C513" s="3">
        <v>44428</v>
      </c>
      <c r="D513" t="s">
        <v>409</v>
      </c>
      <c r="E513" t="s">
        <v>31</v>
      </c>
      <c r="F513" t="s">
        <v>30</v>
      </c>
      <c r="G513" s="1">
        <v>52.56</v>
      </c>
      <c r="I513" s="1">
        <f ca="1">IFERROR(OFFSET(Data[[#This Row],[Balance]],-1,0)+Data[[#This Row],[Actual Income]]-Data[[#This Row],[Actual Expense]], Data[[#This Row],[Actual Income]])</f>
        <v>-12639.167499999998</v>
      </c>
      <c r="J513" s="1">
        <f>IF(Data[[#This Row],[Category]]="Savings or Investments", Data[[#This Row],[Actual Expense]],0)</f>
        <v>0</v>
      </c>
      <c r="K513" t="s">
        <v>387</v>
      </c>
    </row>
    <row r="514" spans="1:11" x14ac:dyDescent="0.2">
      <c r="A514" s="5" t="str">
        <f>TEXT(Data[[#This Row],[Date]],"yyyy")</f>
        <v>2021</v>
      </c>
      <c r="B514" s="5" t="str">
        <f>TEXT(Data[[#This Row],[Date]],"mmm")</f>
        <v>Aug</v>
      </c>
      <c r="C514" s="3">
        <v>44428</v>
      </c>
      <c r="D514" t="s">
        <v>410</v>
      </c>
      <c r="E514" t="s">
        <v>44</v>
      </c>
      <c r="F514" t="s">
        <v>19</v>
      </c>
      <c r="G514" s="1">
        <v>30.47</v>
      </c>
      <c r="I514" s="1">
        <f ca="1">IFERROR(OFFSET(Data[[#This Row],[Balance]],-1,0)+Data[[#This Row],[Actual Income]]-Data[[#This Row],[Actual Expense]], Data[[#This Row],[Actual Income]])</f>
        <v>-12669.637499999997</v>
      </c>
      <c r="J514" s="1">
        <f>IF(Data[[#This Row],[Category]]="Savings or Investments", Data[[#This Row],[Actual Expense]],0)</f>
        <v>0</v>
      </c>
      <c r="K514" t="s">
        <v>387</v>
      </c>
    </row>
    <row r="515" spans="1:11" x14ac:dyDescent="0.2">
      <c r="A515" s="5" t="str">
        <f>TEXT(Data[[#This Row],[Date]],"yyyy")</f>
        <v>2021</v>
      </c>
      <c r="B515" s="5" t="str">
        <f>TEXT(Data[[#This Row],[Date]],"mmm")</f>
        <v>Aug</v>
      </c>
      <c r="C515" s="3">
        <v>44428</v>
      </c>
      <c r="D515" t="s">
        <v>411</v>
      </c>
      <c r="E515" t="s">
        <v>31</v>
      </c>
      <c r="F515" t="s">
        <v>55</v>
      </c>
      <c r="G515" s="1">
        <v>8.98</v>
      </c>
      <c r="I515" s="1">
        <f ca="1">IFERROR(OFFSET(Data[[#This Row],[Balance]],-1,0)+Data[[#This Row],[Actual Income]]-Data[[#This Row],[Actual Expense]], Data[[#This Row],[Actual Income]])</f>
        <v>-12678.617499999997</v>
      </c>
      <c r="J515" s="1">
        <f>IF(Data[[#This Row],[Category]]="Savings or Investments", Data[[#This Row],[Actual Expense]],0)</f>
        <v>0</v>
      </c>
      <c r="K515" t="s">
        <v>387</v>
      </c>
    </row>
    <row r="516" spans="1:11" x14ac:dyDescent="0.2">
      <c r="A516" s="5" t="str">
        <f>TEXT(Data[[#This Row],[Date]],"yyyy")</f>
        <v>2021</v>
      </c>
      <c r="B516" s="5" t="str">
        <f>TEXT(Data[[#This Row],[Date]],"mmm")</f>
        <v>Aug</v>
      </c>
      <c r="C516" s="3">
        <v>44430</v>
      </c>
      <c r="D516" t="s">
        <v>407</v>
      </c>
      <c r="E516" t="s">
        <v>31</v>
      </c>
      <c r="F516" t="s">
        <v>55</v>
      </c>
      <c r="G516" s="1">
        <v>13.38</v>
      </c>
      <c r="I516" s="1">
        <f ca="1">IFERROR(OFFSET(Data[[#This Row],[Balance]],-1,0)+Data[[#This Row],[Actual Income]]-Data[[#This Row],[Actual Expense]], Data[[#This Row],[Actual Income]])</f>
        <v>-12691.997499999996</v>
      </c>
      <c r="J516" s="1">
        <f>IF(Data[[#This Row],[Category]]="Savings or Investments", Data[[#This Row],[Actual Expense]],0)</f>
        <v>0</v>
      </c>
      <c r="K516" t="s">
        <v>387</v>
      </c>
    </row>
    <row r="517" spans="1:11" x14ac:dyDescent="0.2">
      <c r="A517" s="5" t="str">
        <f>TEXT(Data[[#This Row],[Date]],"yyyy")</f>
        <v>2021</v>
      </c>
      <c r="B517" s="5" t="str">
        <f>TEXT(Data[[#This Row],[Date]],"mmm")</f>
        <v>Aug</v>
      </c>
      <c r="C517" s="3">
        <v>44430</v>
      </c>
      <c r="D517" t="s">
        <v>408</v>
      </c>
      <c r="E517" t="s">
        <v>31</v>
      </c>
      <c r="F517" t="s">
        <v>29</v>
      </c>
      <c r="G517" s="1">
        <v>10.87</v>
      </c>
      <c r="I517" s="1">
        <f ca="1">IFERROR(OFFSET(Data[[#This Row],[Balance]],-1,0)+Data[[#This Row],[Actual Income]]-Data[[#This Row],[Actual Expense]], Data[[#This Row],[Actual Income]])</f>
        <v>-12702.867499999997</v>
      </c>
      <c r="J517" s="1">
        <f>IF(Data[[#This Row],[Category]]="Savings or Investments", Data[[#This Row],[Actual Expense]],0)</f>
        <v>0</v>
      </c>
      <c r="K517" t="s">
        <v>387</v>
      </c>
    </row>
    <row r="518" spans="1:11" x14ac:dyDescent="0.2">
      <c r="A518" s="5" t="str">
        <f>TEXT(Data[[#This Row],[Date]],"yyyy")</f>
        <v>2021</v>
      </c>
      <c r="B518" s="5" t="str">
        <f>TEXT(Data[[#This Row],[Date]],"mmm")</f>
        <v>Aug</v>
      </c>
      <c r="C518" s="3">
        <v>44431</v>
      </c>
      <c r="D518" t="s">
        <v>445</v>
      </c>
      <c r="E518" t="s">
        <v>48</v>
      </c>
      <c r="F518" t="s">
        <v>70</v>
      </c>
      <c r="G518" s="1">
        <v>200</v>
      </c>
      <c r="I518" s="1">
        <f ca="1">IFERROR(OFFSET(Data[[#This Row],[Balance]],-1,0)+Data[[#This Row],[Actual Income]]-Data[[#This Row],[Actual Expense]], Data[[#This Row],[Actual Income]])</f>
        <v>-12902.867499999997</v>
      </c>
      <c r="J518" s="1">
        <f>IF(Data[[#This Row],[Category]]="Savings or Investments", Data[[#This Row],[Actual Expense]],0)</f>
        <v>200</v>
      </c>
      <c r="K518" t="s">
        <v>349</v>
      </c>
    </row>
    <row r="519" spans="1:11" x14ac:dyDescent="0.2">
      <c r="A519" s="5" t="str">
        <f>TEXT(Data[[#This Row],[Date]],"yyyy")</f>
        <v>2021</v>
      </c>
      <c r="B519" s="5" t="str">
        <f>TEXT(Data[[#This Row],[Date]],"mmm")</f>
        <v>Aug</v>
      </c>
      <c r="C519" s="3">
        <v>44431</v>
      </c>
      <c r="D519" t="s">
        <v>446</v>
      </c>
      <c r="E519" t="s">
        <v>48</v>
      </c>
      <c r="F519" t="s">
        <v>70</v>
      </c>
      <c r="G519" s="1">
        <v>100</v>
      </c>
      <c r="I519" s="1">
        <f ca="1">IFERROR(OFFSET(Data[[#This Row],[Balance]],-1,0)+Data[[#This Row],[Actual Income]]-Data[[#This Row],[Actual Expense]], Data[[#This Row],[Actual Income]])</f>
        <v>-13002.867499999997</v>
      </c>
      <c r="J519" s="1">
        <f>IF(Data[[#This Row],[Category]]="Savings or Investments", Data[[#This Row],[Actual Expense]],0)</f>
        <v>100</v>
      </c>
      <c r="K519" t="s">
        <v>349</v>
      </c>
    </row>
    <row r="520" spans="1:11" x14ac:dyDescent="0.2">
      <c r="A520" s="5" t="str">
        <f>TEXT(Data[[#This Row],[Date]],"yyyy")</f>
        <v>2021</v>
      </c>
      <c r="B520" s="5" t="str">
        <f>TEXT(Data[[#This Row],[Date]],"mmm")</f>
        <v>Aug</v>
      </c>
      <c r="C520" s="3">
        <v>44432</v>
      </c>
      <c r="D520" t="s">
        <v>442</v>
      </c>
      <c r="E520" t="s">
        <v>44</v>
      </c>
      <c r="F520" t="s">
        <v>19</v>
      </c>
      <c r="G520" s="1">
        <v>-28</v>
      </c>
      <c r="H520" s="1"/>
      <c r="I520" s="1">
        <f ca="1">IFERROR(OFFSET(Data[[#This Row],[Balance]],-1,0)+Data[[#This Row],[Actual Income]]-Data[[#This Row],[Actual Expense]], Data[[#This Row],[Actual Income]])</f>
        <v>-12974.867499999997</v>
      </c>
      <c r="J520" s="1">
        <f>IF(Data[[#This Row],[Category]]="Savings or Investments", Data[[#This Row],[Actual Expense]],0)</f>
        <v>0</v>
      </c>
      <c r="K520" t="s">
        <v>349</v>
      </c>
    </row>
    <row r="521" spans="1:11" x14ac:dyDescent="0.2">
      <c r="A521" s="5" t="str">
        <f>TEXT(Data[[#This Row],[Date]],"yyyy")</f>
        <v>2021</v>
      </c>
      <c r="B521" s="5" t="str">
        <f>TEXT(Data[[#This Row],[Date]],"mmm")</f>
        <v>Aug</v>
      </c>
      <c r="C521" s="3">
        <v>44432</v>
      </c>
      <c r="D521" t="s">
        <v>443</v>
      </c>
      <c r="E521" t="s">
        <v>81</v>
      </c>
      <c r="F521" t="s">
        <v>471</v>
      </c>
      <c r="G521" s="1"/>
      <c r="H521" s="1">
        <v>166.57</v>
      </c>
      <c r="I521" s="1">
        <f ca="1">IFERROR(OFFSET(Data[[#This Row],[Balance]],-1,0)+Data[[#This Row],[Actual Income]]-Data[[#This Row],[Actual Expense]], Data[[#This Row],[Actual Income]])</f>
        <v>-12808.297499999997</v>
      </c>
      <c r="J521" s="1">
        <f>IF(Data[[#This Row],[Category]]="Savings or Investments", Data[[#This Row],[Actual Expense]],0)</f>
        <v>0</v>
      </c>
      <c r="K521" t="s">
        <v>349</v>
      </c>
    </row>
    <row r="522" spans="1:11" x14ac:dyDescent="0.2">
      <c r="A522" s="5" t="str">
        <f>TEXT(Data[[#This Row],[Date]],"yyyy")</f>
        <v>2021</v>
      </c>
      <c r="B522" s="5" t="str">
        <f>TEXT(Data[[#This Row],[Date]],"mmm")</f>
        <v>Aug</v>
      </c>
      <c r="C522" s="3">
        <v>44432</v>
      </c>
      <c r="D522" t="s">
        <v>444</v>
      </c>
      <c r="E522" t="s">
        <v>81</v>
      </c>
      <c r="F522" t="s">
        <v>471</v>
      </c>
      <c r="G522" s="1"/>
      <c r="H522" s="1">
        <v>15.75</v>
      </c>
      <c r="I522" s="1">
        <f ca="1">IFERROR(OFFSET(Data[[#This Row],[Balance]],-1,0)+Data[[#This Row],[Actual Income]]-Data[[#This Row],[Actual Expense]], Data[[#This Row],[Actual Income]])</f>
        <v>-12792.547499999997</v>
      </c>
      <c r="J522" s="1">
        <f>IF(Data[[#This Row],[Category]]="Savings or Investments", Data[[#This Row],[Actual Expense]],0)</f>
        <v>0</v>
      </c>
      <c r="K522" t="s">
        <v>349</v>
      </c>
    </row>
    <row r="523" spans="1:11" x14ac:dyDescent="0.2">
      <c r="A523" s="5" t="str">
        <f>TEXT(Data[[#This Row],[Date]],"yyyy")</f>
        <v>2021</v>
      </c>
      <c r="B523" s="5" t="str">
        <f>TEXT(Data[[#This Row],[Date]],"mmm")</f>
        <v>Aug</v>
      </c>
      <c r="C523" s="3">
        <v>44433</v>
      </c>
      <c r="D523" t="s">
        <v>403</v>
      </c>
      <c r="E523" t="s">
        <v>31</v>
      </c>
      <c r="F523" t="s">
        <v>30</v>
      </c>
      <c r="G523" s="1">
        <v>20.14</v>
      </c>
      <c r="I523" s="1">
        <f ca="1">IFERROR(OFFSET(Data[[#This Row],[Balance]],-1,0)+Data[[#This Row],[Actual Income]]-Data[[#This Row],[Actual Expense]], Data[[#This Row],[Actual Income]])</f>
        <v>-12812.687499999996</v>
      </c>
      <c r="J523" s="1">
        <f>IF(Data[[#This Row],[Category]]="Savings or Investments", Data[[#This Row],[Actual Expense]],0)</f>
        <v>0</v>
      </c>
      <c r="K523" t="s">
        <v>387</v>
      </c>
    </row>
    <row r="524" spans="1:11" x14ac:dyDescent="0.2">
      <c r="A524" s="5" t="str">
        <f>TEXT(Data[[#This Row],[Date]],"yyyy")</f>
        <v>2021</v>
      </c>
      <c r="B524" s="5" t="str">
        <f>TEXT(Data[[#This Row],[Date]],"mmm")</f>
        <v>Aug</v>
      </c>
      <c r="C524" s="3">
        <v>44433</v>
      </c>
      <c r="D524" t="s">
        <v>404</v>
      </c>
      <c r="E524" t="s">
        <v>31</v>
      </c>
      <c r="F524" t="s">
        <v>29</v>
      </c>
      <c r="G524" s="1">
        <v>72.13</v>
      </c>
      <c r="I524" s="1">
        <f ca="1">IFERROR(OFFSET(Data[[#This Row],[Balance]],-1,0)+Data[[#This Row],[Actual Income]]-Data[[#This Row],[Actual Expense]], Data[[#This Row],[Actual Income]])</f>
        <v>-12884.817499999996</v>
      </c>
      <c r="J524" s="1">
        <f>IF(Data[[#This Row],[Category]]="Savings or Investments", Data[[#This Row],[Actual Expense]],0)</f>
        <v>0</v>
      </c>
      <c r="K524" t="s">
        <v>387</v>
      </c>
    </row>
    <row r="525" spans="1:11" x14ac:dyDescent="0.2">
      <c r="A525" s="5" t="str">
        <f>TEXT(Data[[#This Row],[Date]],"yyyy")</f>
        <v>2021</v>
      </c>
      <c r="B525" s="5" t="str">
        <f>TEXT(Data[[#This Row],[Date]],"mmm")</f>
        <v>Aug</v>
      </c>
      <c r="C525" s="3">
        <v>44433</v>
      </c>
      <c r="D525" t="s">
        <v>402</v>
      </c>
      <c r="E525" t="s">
        <v>44</v>
      </c>
      <c r="F525" t="s">
        <v>19</v>
      </c>
      <c r="G525" s="1">
        <v>27.86</v>
      </c>
      <c r="I525" s="1">
        <f ca="1">IFERROR(OFFSET(Data[[#This Row],[Balance]],-1,0)+Data[[#This Row],[Actual Income]]-Data[[#This Row],[Actual Expense]], Data[[#This Row],[Actual Income]])</f>
        <v>-12912.677499999996</v>
      </c>
      <c r="J525" s="1">
        <f>IF(Data[[#This Row],[Category]]="Savings or Investments", Data[[#This Row],[Actual Expense]],0)</f>
        <v>0</v>
      </c>
      <c r="K525" t="s">
        <v>387</v>
      </c>
    </row>
    <row r="526" spans="1:11" x14ac:dyDescent="0.2">
      <c r="A526" s="5" t="str">
        <f>TEXT(Data[[#This Row],[Date]],"yyyy")</f>
        <v>2021</v>
      </c>
      <c r="B526" s="5" t="str">
        <f>TEXT(Data[[#This Row],[Date]],"mmm")</f>
        <v>Aug</v>
      </c>
      <c r="C526" s="3">
        <v>44433</v>
      </c>
      <c r="D526" t="s">
        <v>405</v>
      </c>
      <c r="E526" t="s">
        <v>44</v>
      </c>
      <c r="F526" t="s">
        <v>19</v>
      </c>
      <c r="G526" s="1">
        <v>32.17</v>
      </c>
      <c r="I526" s="1">
        <f ca="1">IFERROR(OFFSET(Data[[#This Row],[Balance]],-1,0)+Data[[#This Row],[Actual Income]]-Data[[#This Row],[Actual Expense]], Data[[#This Row],[Actual Income]])</f>
        <v>-12944.847499999996</v>
      </c>
      <c r="J526" s="1">
        <f>IF(Data[[#This Row],[Category]]="Savings or Investments", Data[[#This Row],[Actual Expense]],0)</f>
        <v>0</v>
      </c>
      <c r="K526" t="s">
        <v>387</v>
      </c>
    </row>
    <row r="527" spans="1:11" x14ac:dyDescent="0.2">
      <c r="A527" s="5" t="str">
        <f>TEXT(Data[[#This Row],[Date]],"yyyy")</f>
        <v>2021</v>
      </c>
      <c r="B527" s="5" t="str">
        <f>TEXT(Data[[#This Row],[Date]],"mmm")</f>
        <v>Aug</v>
      </c>
      <c r="C527" s="3">
        <v>44433</v>
      </c>
      <c r="D527" t="s">
        <v>406</v>
      </c>
      <c r="E527" t="s">
        <v>31</v>
      </c>
      <c r="F527" t="s">
        <v>29</v>
      </c>
      <c r="G527" s="1">
        <v>6.01</v>
      </c>
      <c r="I527" s="1">
        <f ca="1">IFERROR(OFFSET(Data[[#This Row],[Balance]],-1,0)+Data[[#This Row],[Actual Income]]-Data[[#This Row],[Actual Expense]], Data[[#This Row],[Actual Income]])</f>
        <v>-12950.857499999996</v>
      </c>
      <c r="J527" s="1">
        <f>IF(Data[[#This Row],[Category]]="Savings or Investments", Data[[#This Row],[Actual Expense]],0)</f>
        <v>0</v>
      </c>
      <c r="K527" t="s">
        <v>387</v>
      </c>
    </row>
    <row r="528" spans="1:11" x14ac:dyDescent="0.2">
      <c r="A528" s="5" t="str">
        <f>TEXT(Data[[#This Row],[Date]],"yyyy")</f>
        <v>2021</v>
      </c>
      <c r="B528" s="5" t="str">
        <f>TEXT(Data[[#This Row],[Date]],"mmm")</f>
        <v>Aug</v>
      </c>
      <c r="C528" s="3">
        <v>44433</v>
      </c>
      <c r="D528" t="s">
        <v>438</v>
      </c>
      <c r="E528" t="s">
        <v>43</v>
      </c>
      <c r="F528" t="s">
        <v>208</v>
      </c>
      <c r="G528" s="1">
        <v>108.9</v>
      </c>
      <c r="I528" s="1">
        <f ca="1">IFERROR(OFFSET(Data[[#This Row],[Balance]],-1,0)+Data[[#This Row],[Actual Income]]-Data[[#This Row],[Actual Expense]], Data[[#This Row],[Actual Income]])</f>
        <v>-13059.757499999996</v>
      </c>
      <c r="J528" s="1">
        <f>IF(Data[[#This Row],[Category]]="Savings or Investments", Data[[#This Row],[Actual Expense]],0)</f>
        <v>0</v>
      </c>
      <c r="K528" t="s">
        <v>349</v>
      </c>
    </row>
    <row r="529" spans="1:11" x14ac:dyDescent="0.2">
      <c r="A529" s="5" t="str">
        <f>TEXT(Data[[#This Row],[Date]],"yyyy")</f>
        <v>2021</v>
      </c>
      <c r="B529" s="5" t="str">
        <f>TEXT(Data[[#This Row],[Date]],"mmm")</f>
        <v>Aug</v>
      </c>
      <c r="C529" s="3">
        <v>44433</v>
      </c>
      <c r="D529" t="s">
        <v>439</v>
      </c>
      <c r="E529" t="s">
        <v>31</v>
      </c>
      <c r="F529" t="s">
        <v>29</v>
      </c>
      <c r="G529" s="1">
        <v>2.68</v>
      </c>
      <c r="I529" s="1">
        <f ca="1">IFERROR(OFFSET(Data[[#This Row],[Balance]],-1,0)+Data[[#This Row],[Actual Income]]-Data[[#This Row],[Actual Expense]], Data[[#This Row],[Actual Income]])</f>
        <v>-13062.437499999996</v>
      </c>
      <c r="J529" s="1">
        <f>IF(Data[[#This Row],[Category]]="Savings or Investments", Data[[#This Row],[Actual Expense]],0)</f>
        <v>0</v>
      </c>
      <c r="K529" t="s">
        <v>349</v>
      </c>
    </row>
    <row r="530" spans="1:11" x14ac:dyDescent="0.2">
      <c r="A530" s="5" t="str">
        <f>TEXT(Data[[#This Row],[Date]],"yyyy")</f>
        <v>2021</v>
      </c>
      <c r="B530" s="5" t="str">
        <f>TEXT(Data[[#This Row],[Date]],"mmm")</f>
        <v>Aug</v>
      </c>
      <c r="C530" s="3">
        <v>44433</v>
      </c>
      <c r="D530" t="s">
        <v>440</v>
      </c>
      <c r="E530" t="s">
        <v>31</v>
      </c>
      <c r="F530" t="s">
        <v>29</v>
      </c>
      <c r="G530" s="1">
        <v>9.5</v>
      </c>
      <c r="I530" s="1">
        <f ca="1">IFERROR(OFFSET(Data[[#This Row],[Balance]],-1,0)+Data[[#This Row],[Actual Income]]-Data[[#This Row],[Actual Expense]], Data[[#This Row],[Actual Income]])</f>
        <v>-13071.937499999996</v>
      </c>
      <c r="J530" s="1">
        <f>IF(Data[[#This Row],[Category]]="Savings or Investments", Data[[#This Row],[Actual Expense]],0)</f>
        <v>0</v>
      </c>
      <c r="K530" t="s">
        <v>349</v>
      </c>
    </row>
    <row r="531" spans="1:11" x14ac:dyDescent="0.2">
      <c r="A531" s="5" t="str">
        <f>TEXT(Data[[#This Row],[Date]],"yyyy")</f>
        <v>2021</v>
      </c>
      <c r="B531" s="5" t="str">
        <f>TEXT(Data[[#This Row],[Date]],"mmm")</f>
        <v>Aug</v>
      </c>
      <c r="C531" s="3">
        <v>44433</v>
      </c>
      <c r="D531" t="s">
        <v>441</v>
      </c>
      <c r="E531" t="s">
        <v>81</v>
      </c>
      <c r="F531" t="s">
        <v>471</v>
      </c>
      <c r="G531" s="1"/>
      <c r="H531" s="1">
        <v>6.25</v>
      </c>
      <c r="I531" s="1">
        <f ca="1">IFERROR(OFFSET(Data[[#This Row],[Balance]],-1,0)+Data[[#This Row],[Actual Income]]-Data[[#This Row],[Actual Expense]], Data[[#This Row],[Actual Income]])</f>
        <v>-13065.687499999996</v>
      </c>
      <c r="J531" s="1">
        <f>IF(Data[[#This Row],[Category]]="Savings or Investments", Data[[#This Row],[Actual Expense]],0)</f>
        <v>0</v>
      </c>
      <c r="K531" t="s">
        <v>349</v>
      </c>
    </row>
    <row r="532" spans="1:11" x14ac:dyDescent="0.2">
      <c r="A532" s="5" t="str">
        <f>TEXT(Data[[#This Row],[Date]],"yyyy")</f>
        <v>2021</v>
      </c>
      <c r="B532" s="5" t="str">
        <f>TEXT(Data[[#This Row],[Date]],"mmm")</f>
        <v>Aug</v>
      </c>
      <c r="C532" s="3">
        <v>44434</v>
      </c>
      <c r="D532" t="s">
        <v>434</v>
      </c>
      <c r="E532" t="s">
        <v>31</v>
      </c>
      <c r="F532" t="s">
        <v>55</v>
      </c>
      <c r="G532" s="1">
        <v>12.47</v>
      </c>
      <c r="I532" s="1">
        <f ca="1">IFERROR(OFFSET(Data[[#This Row],[Balance]],-1,0)+Data[[#This Row],[Actual Income]]-Data[[#This Row],[Actual Expense]], Data[[#This Row],[Actual Income]])</f>
        <v>-13078.157499999996</v>
      </c>
      <c r="J532" s="1">
        <f>IF(Data[[#This Row],[Category]]="Savings or Investments", Data[[#This Row],[Actual Expense]],0)</f>
        <v>0</v>
      </c>
      <c r="K532" t="s">
        <v>349</v>
      </c>
    </row>
    <row r="533" spans="1:11" x14ac:dyDescent="0.2">
      <c r="A533" s="5" t="str">
        <f>TEXT(Data[[#This Row],[Date]],"yyyy")</f>
        <v>2021</v>
      </c>
      <c r="B533" s="5" t="str">
        <f>TEXT(Data[[#This Row],[Date]],"mmm")</f>
        <v>Aug</v>
      </c>
      <c r="C533" s="3">
        <v>44434</v>
      </c>
      <c r="D533" t="s">
        <v>435</v>
      </c>
      <c r="E533" t="s">
        <v>31</v>
      </c>
      <c r="F533" t="s">
        <v>29</v>
      </c>
      <c r="G533" s="1">
        <v>24.56</v>
      </c>
      <c r="I533" s="1">
        <f ca="1">IFERROR(OFFSET(Data[[#This Row],[Balance]],-1,0)+Data[[#This Row],[Actual Income]]-Data[[#This Row],[Actual Expense]], Data[[#This Row],[Actual Income]])</f>
        <v>-13102.717499999995</v>
      </c>
      <c r="J533" s="1">
        <f>IF(Data[[#This Row],[Category]]="Savings or Investments", Data[[#This Row],[Actual Expense]],0)</f>
        <v>0</v>
      </c>
      <c r="K533" t="s">
        <v>349</v>
      </c>
    </row>
    <row r="534" spans="1:11" x14ac:dyDescent="0.2">
      <c r="A534" s="5" t="str">
        <f>TEXT(Data[[#This Row],[Date]],"yyyy")</f>
        <v>2021</v>
      </c>
      <c r="B534" s="5" t="str">
        <f>TEXT(Data[[#This Row],[Date]],"mmm")</f>
        <v>Aug</v>
      </c>
      <c r="C534" s="3">
        <v>44434</v>
      </c>
      <c r="D534" t="s">
        <v>436</v>
      </c>
      <c r="E534" t="s">
        <v>31</v>
      </c>
      <c r="F534" t="s">
        <v>29</v>
      </c>
      <c r="G534" s="1">
        <v>32.119999999999997</v>
      </c>
      <c r="I534" s="1">
        <f ca="1">IFERROR(OFFSET(Data[[#This Row],[Balance]],-1,0)+Data[[#This Row],[Actual Income]]-Data[[#This Row],[Actual Expense]], Data[[#This Row],[Actual Income]])</f>
        <v>-13134.837499999996</v>
      </c>
      <c r="J534" s="1">
        <f>IF(Data[[#This Row],[Category]]="Savings or Investments", Data[[#This Row],[Actual Expense]],0)</f>
        <v>0</v>
      </c>
      <c r="K534" t="s">
        <v>349</v>
      </c>
    </row>
    <row r="535" spans="1:11" x14ac:dyDescent="0.2">
      <c r="A535" s="5" t="str">
        <f>TEXT(Data[[#This Row],[Date]],"yyyy")</f>
        <v>2021</v>
      </c>
      <c r="B535" s="5" t="str">
        <f>TEXT(Data[[#This Row],[Date]],"mmm")</f>
        <v>Aug</v>
      </c>
      <c r="C535" s="3">
        <v>44434</v>
      </c>
      <c r="D535" t="s">
        <v>437</v>
      </c>
      <c r="E535" t="s">
        <v>31</v>
      </c>
      <c r="F535" t="s">
        <v>30</v>
      </c>
      <c r="G535" s="1">
        <v>21.35</v>
      </c>
      <c r="I535" s="1">
        <f ca="1">IFERROR(OFFSET(Data[[#This Row],[Balance]],-1,0)+Data[[#This Row],[Actual Income]]-Data[[#This Row],[Actual Expense]], Data[[#This Row],[Actual Income]])</f>
        <v>-13156.187499999996</v>
      </c>
      <c r="J535" s="1">
        <f>IF(Data[[#This Row],[Category]]="Savings or Investments", Data[[#This Row],[Actual Expense]],0)</f>
        <v>0</v>
      </c>
      <c r="K535" t="s">
        <v>349</v>
      </c>
    </row>
    <row r="536" spans="1:11" x14ac:dyDescent="0.2">
      <c r="A536" s="5" t="str">
        <f>TEXT(Data[[#This Row],[Date]],"yyyy")</f>
        <v>2021</v>
      </c>
      <c r="B536" s="5" t="str">
        <f>TEXT(Data[[#This Row],[Date]],"mmm")</f>
        <v>Aug</v>
      </c>
      <c r="C536" s="3">
        <v>44435</v>
      </c>
      <c r="D536" t="s">
        <v>432</v>
      </c>
      <c r="E536" t="s">
        <v>31</v>
      </c>
      <c r="F536" t="s">
        <v>30</v>
      </c>
      <c r="G536" s="1">
        <v>8.84</v>
      </c>
      <c r="I536" s="1">
        <f ca="1">IFERROR(OFFSET(Data[[#This Row],[Balance]],-1,0)+Data[[#This Row],[Actual Income]]-Data[[#This Row],[Actual Expense]], Data[[#This Row],[Actual Income]])</f>
        <v>-13165.027499999997</v>
      </c>
      <c r="J536" s="1">
        <f>IF(Data[[#This Row],[Category]]="Savings or Investments", Data[[#This Row],[Actual Expense]],0)</f>
        <v>0</v>
      </c>
      <c r="K536" t="s">
        <v>349</v>
      </c>
    </row>
    <row r="537" spans="1:11" x14ac:dyDescent="0.2">
      <c r="A537" s="5" t="str">
        <f>TEXT(Data[[#This Row],[Date]],"yyyy")</f>
        <v>2021</v>
      </c>
      <c r="B537" s="5" t="str">
        <f>TEXT(Data[[#This Row],[Date]],"mmm")</f>
        <v>Aug</v>
      </c>
      <c r="C537" s="3">
        <v>44435</v>
      </c>
      <c r="D537" t="s">
        <v>433</v>
      </c>
      <c r="E537" t="s">
        <v>81</v>
      </c>
      <c r="F537" t="s">
        <v>174</v>
      </c>
      <c r="G537" s="1"/>
      <c r="H537" s="1">
        <v>1876.04</v>
      </c>
      <c r="I537" s="1">
        <f ca="1">IFERROR(OFFSET(Data[[#This Row],[Balance]],-1,0)+Data[[#This Row],[Actual Income]]-Data[[#This Row],[Actual Expense]], Data[[#This Row],[Actual Income]])</f>
        <v>-11288.987499999996</v>
      </c>
      <c r="J537" s="1">
        <f>IF(Data[[#This Row],[Category]]="Savings or Investments", Data[[#This Row],[Actual Expense]],0)</f>
        <v>0</v>
      </c>
      <c r="K537" t="s">
        <v>349</v>
      </c>
    </row>
    <row r="538" spans="1:11" x14ac:dyDescent="0.2">
      <c r="A538" s="5" t="str">
        <f>TEXT(Data[[#This Row],[Date]],"yyyy")</f>
        <v>2021</v>
      </c>
      <c r="B538" s="5" t="str">
        <f>TEXT(Data[[#This Row],[Date]],"mmm")</f>
        <v>Aug</v>
      </c>
      <c r="C538" s="3">
        <v>44435</v>
      </c>
      <c r="D538" t="s">
        <v>474</v>
      </c>
      <c r="E538" t="s">
        <v>49</v>
      </c>
      <c r="F538" t="s">
        <v>298</v>
      </c>
      <c r="G538" s="1">
        <v>100</v>
      </c>
      <c r="I538" s="1">
        <f ca="1">IFERROR(OFFSET(Data[[#This Row],[Balance]],-1,0)+Data[[#This Row],[Actual Income]]-Data[[#This Row],[Actual Expense]], Data[[#This Row],[Actual Income]])</f>
        <v>-11388.987499999996</v>
      </c>
      <c r="J538" s="1">
        <f>IF(Data[[#This Row],[Category]]="Savings or Investments", Data[[#This Row],[Actual Expense]],0)</f>
        <v>0</v>
      </c>
      <c r="K538" t="s">
        <v>286</v>
      </c>
    </row>
    <row r="539" spans="1:11" x14ac:dyDescent="0.2">
      <c r="A539" s="5" t="str">
        <f>TEXT(Data[[#This Row],[Date]],"yyyy")</f>
        <v>2021</v>
      </c>
      <c r="B539" s="5" t="str">
        <f>TEXT(Data[[#This Row],[Date]],"mmm")</f>
        <v>Aug</v>
      </c>
      <c r="C539" s="3">
        <v>44437</v>
      </c>
      <c r="D539" t="s">
        <v>402</v>
      </c>
      <c r="E539" t="s">
        <v>44</v>
      </c>
      <c r="F539" t="s">
        <v>19</v>
      </c>
      <c r="G539" s="1">
        <v>21.09</v>
      </c>
      <c r="I539" s="1">
        <f ca="1">IFERROR(OFFSET(Data[[#This Row],[Balance]],-1,0)+Data[[#This Row],[Actual Income]]-Data[[#This Row],[Actual Expense]], Data[[#This Row],[Actual Income]])</f>
        <v>-11410.077499999996</v>
      </c>
      <c r="J539" s="1">
        <f>IF(Data[[#This Row],[Category]]="Savings or Investments", Data[[#This Row],[Actual Expense]],0)</f>
        <v>0</v>
      </c>
      <c r="K539" t="s">
        <v>387</v>
      </c>
    </row>
    <row r="540" spans="1:11" x14ac:dyDescent="0.2">
      <c r="A540" s="5" t="str">
        <f>TEXT(Data[[#This Row],[Date]],"yyyy")</f>
        <v>2021</v>
      </c>
      <c r="B540" s="5" t="str">
        <f>TEXT(Data[[#This Row],[Date]],"mmm")</f>
        <v>Aug</v>
      </c>
      <c r="C540" s="3">
        <v>44437</v>
      </c>
      <c r="D540" t="s">
        <v>473</v>
      </c>
      <c r="E540" t="s">
        <v>31</v>
      </c>
      <c r="F540" t="s">
        <v>30</v>
      </c>
      <c r="G540" s="1">
        <v>74.47</v>
      </c>
      <c r="I540" s="1">
        <f ca="1">IFERROR(OFFSET(Data[[#This Row],[Balance]],-1,0)+Data[[#This Row],[Actual Income]]-Data[[#This Row],[Actual Expense]], Data[[#This Row],[Actual Income]])</f>
        <v>-11484.547499999995</v>
      </c>
      <c r="J540" s="1">
        <f>IF(Data[[#This Row],[Category]]="Savings or Investments", Data[[#This Row],[Actual Expense]],0)</f>
        <v>0</v>
      </c>
      <c r="K540" t="s">
        <v>286</v>
      </c>
    </row>
    <row r="541" spans="1:11" x14ac:dyDescent="0.2">
      <c r="A541" s="5" t="str">
        <f>TEXT(Data[[#This Row],[Date]],"yyyy")</f>
        <v>2021</v>
      </c>
      <c r="B541" s="5" t="str">
        <f>TEXT(Data[[#This Row],[Date]],"mmm")</f>
        <v>Aug</v>
      </c>
      <c r="C541" s="3">
        <v>44438</v>
      </c>
      <c r="D541" t="s">
        <v>378</v>
      </c>
      <c r="E541" t="s">
        <v>31</v>
      </c>
      <c r="F541" t="s">
        <v>30</v>
      </c>
      <c r="G541" s="1">
        <v>8.84</v>
      </c>
      <c r="I541" s="1">
        <f ca="1">IFERROR(OFFSET(Data[[#This Row],[Balance]],-1,0)+Data[[#This Row],[Actual Income]]-Data[[#This Row],[Actual Expense]], Data[[#This Row],[Actual Income]])</f>
        <v>-11493.387499999995</v>
      </c>
      <c r="J541" s="1">
        <f>IF(Data[[#This Row],[Category]]="Savings or Investments", Data[[#This Row],[Actual Expense]],0)</f>
        <v>0</v>
      </c>
      <c r="K541" t="s">
        <v>387</v>
      </c>
    </row>
    <row r="542" spans="1:11" x14ac:dyDescent="0.2">
      <c r="A542" s="5" t="str">
        <f>TEXT(Data[[#This Row],[Date]],"yyyy")</f>
        <v>2021</v>
      </c>
      <c r="B542" s="5" t="str">
        <f>TEXT(Data[[#This Row],[Date]],"mmm")</f>
        <v>Aug</v>
      </c>
      <c r="C542" s="3">
        <v>44438</v>
      </c>
      <c r="D542" t="s">
        <v>401</v>
      </c>
      <c r="E542" t="s">
        <v>31</v>
      </c>
      <c r="F542" t="s">
        <v>30</v>
      </c>
      <c r="G542" s="1">
        <v>12.42</v>
      </c>
      <c r="I542" s="1">
        <f ca="1">IFERROR(OFFSET(Data[[#This Row],[Balance]],-1,0)+Data[[#This Row],[Actual Income]]-Data[[#This Row],[Actual Expense]], Data[[#This Row],[Actual Income]])</f>
        <v>-11505.807499999995</v>
      </c>
      <c r="J542" s="1">
        <f>IF(Data[[#This Row],[Category]]="Savings or Investments", Data[[#This Row],[Actual Expense]],0)</f>
        <v>0</v>
      </c>
      <c r="K542" t="s">
        <v>387</v>
      </c>
    </row>
    <row r="543" spans="1:11" x14ac:dyDescent="0.2">
      <c r="A543" s="5" t="str">
        <f>TEXT(Data[[#This Row],[Date]],"yyyy")</f>
        <v>2021</v>
      </c>
      <c r="B543" s="5" t="str">
        <f>TEXT(Data[[#This Row],[Date]],"mmm")</f>
        <v>Aug</v>
      </c>
      <c r="C543" s="3">
        <v>44438</v>
      </c>
      <c r="D543" t="s">
        <v>429</v>
      </c>
      <c r="E543" t="s">
        <v>48</v>
      </c>
      <c r="F543" t="s">
        <v>70</v>
      </c>
      <c r="G543" s="1">
        <v>200</v>
      </c>
      <c r="I543" s="1">
        <f ca="1">IFERROR(OFFSET(Data[[#This Row],[Balance]],-1,0)+Data[[#This Row],[Actual Income]]-Data[[#This Row],[Actual Expense]], Data[[#This Row],[Actual Income]])</f>
        <v>-11705.807499999995</v>
      </c>
      <c r="J543" s="1">
        <f>IF(Data[[#This Row],[Category]]="Savings or Investments", Data[[#This Row],[Actual Expense]],0)</f>
        <v>200</v>
      </c>
      <c r="K543" t="s">
        <v>349</v>
      </c>
    </row>
    <row r="544" spans="1:11" x14ac:dyDescent="0.2">
      <c r="A544" s="5" t="str">
        <f>TEXT(Data[[#This Row],[Date]],"yyyy")</f>
        <v>2021</v>
      </c>
      <c r="B544" s="5" t="str">
        <f>TEXT(Data[[#This Row],[Date]],"mmm")</f>
        <v>Aug</v>
      </c>
      <c r="C544" s="3">
        <v>44438</v>
      </c>
      <c r="D544" t="s">
        <v>430</v>
      </c>
      <c r="E544" t="s">
        <v>48</v>
      </c>
      <c r="F544" t="s">
        <v>70</v>
      </c>
      <c r="G544" s="1">
        <v>100</v>
      </c>
      <c r="I544" s="1">
        <f ca="1">IFERROR(OFFSET(Data[[#This Row],[Balance]],-1,0)+Data[[#This Row],[Actual Income]]-Data[[#This Row],[Actual Expense]], Data[[#This Row],[Actual Income]])</f>
        <v>-11805.807499999995</v>
      </c>
      <c r="J544" s="1">
        <f>IF(Data[[#This Row],[Category]]="Savings or Investments", Data[[#This Row],[Actual Expense]],0)</f>
        <v>100</v>
      </c>
      <c r="K544" t="s">
        <v>349</v>
      </c>
    </row>
    <row r="545" spans="1:11" x14ac:dyDescent="0.2">
      <c r="A545" s="5" t="str">
        <f>TEXT(Data[[#This Row],[Date]],"yyyy")</f>
        <v>2021</v>
      </c>
      <c r="B545" s="5" t="str">
        <f>TEXT(Data[[#This Row],[Date]],"mmm")</f>
        <v>Aug</v>
      </c>
      <c r="C545" s="3">
        <v>44438</v>
      </c>
      <c r="D545" t="s">
        <v>431</v>
      </c>
      <c r="E545" t="s">
        <v>31</v>
      </c>
      <c r="F545" t="s">
        <v>55</v>
      </c>
      <c r="G545" s="1">
        <v>10.35</v>
      </c>
      <c r="I545" s="1">
        <f ca="1">IFERROR(OFFSET(Data[[#This Row],[Balance]],-1,0)+Data[[#This Row],[Actual Income]]-Data[[#This Row],[Actual Expense]], Data[[#This Row],[Actual Income]])</f>
        <v>-11816.157499999996</v>
      </c>
      <c r="J545" s="1">
        <f>IF(Data[[#This Row],[Category]]="Savings or Investments", Data[[#This Row],[Actual Expense]],0)</f>
        <v>0</v>
      </c>
      <c r="K545" t="s">
        <v>349</v>
      </c>
    </row>
    <row r="546" spans="1:11" x14ac:dyDescent="0.2">
      <c r="A546" s="5" t="str">
        <f>TEXT(Data[[#This Row],[Date]],"yyyy")</f>
        <v>2021</v>
      </c>
      <c r="B546" s="5" t="str">
        <f>TEXT(Data[[#This Row],[Date]],"mmm")</f>
        <v>Aug</v>
      </c>
      <c r="C546" s="3">
        <v>44439</v>
      </c>
      <c r="D546" t="s">
        <v>378</v>
      </c>
      <c r="E546" t="s">
        <v>31</v>
      </c>
      <c r="F546" t="s">
        <v>30</v>
      </c>
      <c r="G546" s="1">
        <v>8.84</v>
      </c>
      <c r="I546" s="1">
        <f ca="1">IFERROR(OFFSET(Data[[#This Row],[Balance]],-1,0)+Data[[#This Row],[Actual Income]]-Data[[#This Row],[Actual Expense]], Data[[#This Row],[Actual Income]])</f>
        <v>-11824.997499999996</v>
      </c>
      <c r="J546" s="1">
        <f>IF(Data[[#This Row],[Category]]="Savings or Investments", Data[[#This Row],[Actual Expense]],0)</f>
        <v>0</v>
      </c>
      <c r="K546" t="s">
        <v>387</v>
      </c>
    </row>
    <row r="547" spans="1:11" x14ac:dyDescent="0.2">
      <c r="A547" s="5" t="str">
        <f>TEXT(Data[[#This Row],[Date]],"yyyy")</f>
        <v>2021</v>
      </c>
      <c r="B547" s="5" t="str">
        <f>TEXT(Data[[#This Row],[Date]],"mmm")</f>
        <v>Aug</v>
      </c>
      <c r="C547" s="3">
        <v>44439</v>
      </c>
      <c r="D547" t="s">
        <v>400</v>
      </c>
      <c r="E547" t="s">
        <v>31</v>
      </c>
      <c r="F547" t="s">
        <v>30</v>
      </c>
      <c r="G547" s="1">
        <v>28.75</v>
      </c>
      <c r="I547" s="1">
        <f ca="1">IFERROR(OFFSET(Data[[#This Row],[Balance]],-1,0)+Data[[#This Row],[Actual Income]]-Data[[#This Row],[Actual Expense]], Data[[#This Row],[Actual Income]])</f>
        <v>-11853.747499999996</v>
      </c>
      <c r="J547" s="1">
        <f>IF(Data[[#This Row],[Category]]="Savings or Investments", Data[[#This Row],[Actual Expense]],0)</f>
        <v>0</v>
      </c>
      <c r="K547" t="s">
        <v>387</v>
      </c>
    </row>
    <row r="548" spans="1:11" x14ac:dyDescent="0.2">
      <c r="A548" s="5" t="str">
        <f>TEXT(Data[[#This Row],[Date]],"yyyy")</f>
        <v>2021</v>
      </c>
      <c r="B548" s="5" t="str">
        <f>TEXT(Data[[#This Row],[Date]],"mmm")</f>
        <v>Aug</v>
      </c>
      <c r="C548" s="3">
        <v>44439</v>
      </c>
      <c r="D548" t="s">
        <v>426</v>
      </c>
      <c r="E548" t="s">
        <v>44</v>
      </c>
      <c r="F548" t="s">
        <v>19</v>
      </c>
      <c r="G548" s="1">
        <v>-21</v>
      </c>
      <c r="H548" s="1"/>
      <c r="I548" s="1">
        <f ca="1">IFERROR(OFFSET(Data[[#This Row],[Balance]],-1,0)+Data[[#This Row],[Actual Income]]-Data[[#This Row],[Actual Expense]], Data[[#This Row],[Actual Income]])</f>
        <v>-11832.747499999996</v>
      </c>
      <c r="J548" s="1">
        <f>IF(Data[[#This Row],[Category]]="Savings or Investments", Data[[#This Row],[Actual Expense]],0)</f>
        <v>0</v>
      </c>
      <c r="K548" t="s">
        <v>349</v>
      </c>
    </row>
    <row r="549" spans="1:11" x14ac:dyDescent="0.2">
      <c r="A549" s="5" t="str">
        <f>TEXT(Data[[#This Row],[Date]],"yyyy")</f>
        <v>2021</v>
      </c>
      <c r="B549" s="5" t="str">
        <f>TEXT(Data[[#This Row],[Date]],"mmm")</f>
        <v>Aug</v>
      </c>
      <c r="C549" s="3">
        <v>44439</v>
      </c>
      <c r="D549" t="s">
        <v>427</v>
      </c>
      <c r="E549" t="s">
        <v>81</v>
      </c>
      <c r="F549" t="s">
        <v>471</v>
      </c>
      <c r="G549" s="1"/>
      <c r="H549" s="1">
        <v>83.43</v>
      </c>
      <c r="I549" s="1">
        <f ca="1">IFERROR(OFFSET(Data[[#This Row],[Balance]],-1,0)+Data[[#This Row],[Actual Income]]-Data[[#This Row],[Actual Expense]], Data[[#This Row],[Actual Income]])</f>
        <v>-11749.317499999996</v>
      </c>
      <c r="J549" s="1">
        <f>IF(Data[[#This Row],[Category]]="Savings or Investments", Data[[#This Row],[Actual Expense]],0)</f>
        <v>0</v>
      </c>
      <c r="K549" t="s">
        <v>349</v>
      </c>
    </row>
    <row r="550" spans="1:11" x14ac:dyDescent="0.2">
      <c r="A550" s="5" t="str">
        <f>TEXT(Data[[#This Row],[Date]],"yyyy")</f>
        <v>2021</v>
      </c>
      <c r="B550" s="5" t="str">
        <f>TEXT(Data[[#This Row],[Date]],"mmm")</f>
        <v>Aug</v>
      </c>
      <c r="C550" s="3">
        <v>44439</v>
      </c>
      <c r="D550" t="s">
        <v>428</v>
      </c>
      <c r="E550" t="s">
        <v>81</v>
      </c>
      <c r="F550" t="s">
        <v>471</v>
      </c>
      <c r="G550" s="1"/>
      <c r="H550" s="1">
        <v>58.14</v>
      </c>
      <c r="I550" s="1">
        <f ca="1">IFERROR(OFFSET(Data[[#This Row],[Balance]],-1,0)+Data[[#This Row],[Actual Income]]-Data[[#This Row],[Actual Expense]], Data[[#This Row],[Actual Income]])</f>
        <v>-11691.177499999996</v>
      </c>
      <c r="J550" s="1">
        <f>IF(Data[[#This Row],[Category]]="Savings or Investments", Data[[#This Row],[Actual Expense]],0)</f>
        <v>0</v>
      </c>
      <c r="K550" t="s">
        <v>349</v>
      </c>
    </row>
    <row r="551" spans="1:11" x14ac:dyDescent="0.2">
      <c r="A551" s="5" t="str">
        <f>TEXT(Data[[#This Row],[Date]],"yyyy")</f>
        <v>2021</v>
      </c>
      <c r="B551" s="5" t="str">
        <f>TEXT(Data[[#This Row],[Date]],"mmm")</f>
        <v>Sep</v>
      </c>
      <c r="C551" s="3">
        <v>44440</v>
      </c>
      <c r="D551" t="s">
        <v>376</v>
      </c>
      <c r="E551" t="s">
        <v>31</v>
      </c>
      <c r="F551" t="s">
        <v>55</v>
      </c>
      <c r="G551" s="1">
        <v>7.14</v>
      </c>
      <c r="I551" s="1">
        <f ca="1">IFERROR(OFFSET(Data[[#This Row],[Balance]],-1,0)+Data[[#This Row],[Actual Income]]-Data[[#This Row],[Actual Expense]], Data[[#This Row],[Actual Income]])</f>
        <v>-11698.317499999996</v>
      </c>
      <c r="J551" s="1">
        <f>IF(Data[[#This Row],[Category]]="Savings or Investments", Data[[#This Row],[Actual Expense]],0)</f>
        <v>0</v>
      </c>
      <c r="K551" t="s">
        <v>387</v>
      </c>
    </row>
    <row r="552" spans="1:11" x14ac:dyDescent="0.2">
      <c r="A552" s="5" t="str">
        <f>TEXT(Data[[#This Row],[Date]],"yyyy")</f>
        <v>2021</v>
      </c>
      <c r="B552" s="5" t="str">
        <f>TEXT(Data[[#This Row],[Date]],"mmm")</f>
        <v>Sep</v>
      </c>
      <c r="C552" s="3">
        <v>44440</v>
      </c>
      <c r="D552" t="s">
        <v>399</v>
      </c>
      <c r="E552" t="s">
        <v>44</v>
      </c>
      <c r="F552" t="s">
        <v>19</v>
      </c>
      <c r="G552" s="1">
        <v>41.64</v>
      </c>
      <c r="I552" s="1">
        <f ca="1">IFERROR(OFFSET(Data[[#This Row],[Balance]],-1,0)+Data[[#This Row],[Actual Income]]-Data[[#This Row],[Actual Expense]], Data[[#This Row],[Actual Income]])</f>
        <v>-11739.957499999995</v>
      </c>
      <c r="J552" s="1">
        <f>IF(Data[[#This Row],[Category]]="Savings or Investments", Data[[#This Row],[Actual Expense]],0)</f>
        <v>0</v>
      </c>
      <c r="K552" t="s">
        <v>387</v>
      </c>
    </row>
    <row r="553" spans="1:11" x14ac:dyDescent="0.2">
      <c r="A553" s="5" t="str">
        <f>TEXT(Data[[#This Row],[Date]],"yyyy")</f>
        <v>2021</v>
      </c>
      <c r="B553" s="5" t="str">
        <f>TEXT(Data[[#This Row],[Date]],"mmm")</f>
        <v>Sep</v>
      </c>
      <c r="C553" s="3">
        <v>44440</v>
      </c>
      <c r="D553" t="s">
        <v>425</v>
      </c>
      <c r="E553" t="s">
        <v>42</v>
      </c>
      <c r="F553" t="s">
        <v>0</v>
      </c>
      <c r="G553" s="1">
        <v>500</v>
      </c>
      <c r="I553" s="1">
        <f ca="1">IFERROR(OFFSET(Data[[#This Row],[Balance]],-1,0)+Data[[#This Row],[Actual Income]]-Data[[#This Row],[Actual Expense]], Data[[#This Row],[Actual Income]])</f>
        <v>-12239.957499999995</v>
      </c>
      <c r="J553" s="1">
        <f>IF(Data[[#This Row],[Category]]="Savings or Investments", Data[[#This Row],[Actual Expense]],0)</f>
        <v>0</v>
      </c>
      <c r="K553" t="s">
        <v>349</v>
      </c>
    </row>
    <row r="554" spans="1:11" x14ac:dyDescent="0.2">
      <c r="A554" s="5" t="str">
        <f>TEXT(Data[[#This Row],[Date]],"yyyy")</f>
        <v>2021</v>
      </c>
      <c r="B554" s="5" t="str">
        <f>TEXT(Data[[#This Row],[Date]],"mmm")</f>
        <v>Sep</v>
      </c>
      <c r="C554" s="3">
        <v>44441</v>
      </c>
      <c r="D554" t="s">
        <v>424</v>
      </c>
      <c r="E554" t="s">
        <v>48</v>
      </c>
      <c r="F554" t="s">
        <v>70</v>
      </c>
      <c r="G554" s="1">
        <v>100</v>
      </c>
      <c r="I554" s="1">
        <f ca="1">IFERROR(OFFSET(Data[[#This Row],[Balance]],-1,0)+Data[[#This Row],[Actual Income]]-Data[[#This Row],[Actual Expense]], Data[[#This Row],[Actual Income]])</f>
        <v>-12339.957499999995</v>
      </c>
      <c r="J554" s="1">
        <f>IF(Data[[#This Row],[Category]]="Savings or Investments", Data[[#This Row],[Actual Expense]],0)</f>
        <v>100</v>
      </c>
      <c r="K554" t="s">
        <v>349</v>
      </c>
    </row>
    <row r="555" spans="1:11" x14ac:dyDescent="0.2">
      <c r="A555" s="5" t="str">
        <f>TEXT(Data[[#This Row],[Date]],"yyyy")</f>
        <v>2021</v>
      </c>
      <c r="B555" s="5" t="str">
        <f>TEXT(Data[[#This Row],[Date]],"mmm")</f>
        <v>Sep</v>
      </c>
      <c r="C555" s="3">
        <v>44441</v>
      </c>
      <c r="D555" t="s">
        <v>365</v>
      </c>
      <c r="E555" t="s">
        <v>48</v>
      </c>
      <c r="F555" t="s">
        <v>130</v>
      </c>
      <c r="G555" s="1">
        <v>100</v>
      </c>
      <c r="I555" s="1">
        <f ca="1">IFERROR(OFFSET(Data[[#This Row],[Balance]],-1,0)+Data[[#This Row],[Actual Income]]-Data[[#This Row],[Actual Expense]], Data[[#This Row],[Actual Income]])</f>
        <v>-12439.957499999995</v>
      </c>
      <c r="J555" s="1">
        <f>IF(Data[[#This Row],[Category]]="Savings or Investments", Data[[#This Row],[Actual Expense]],0)</f>
        <v>100</v>
      </c>
      <c r="K555" t="s">
        <v>349</v>
      </c>
    </row>
  </sheetData>
  <sortState xmlns:xlrd2="http://schemas.microsoft.com/office/spreadsheetml/2017/richdata2" ref="L3:L12">
    <sortCondition ref="L3:L12"/>
  </sortState>
  <dataConsolidate/>
  <dataValidations count="3">
    <dataValidation type="list" allowBlank="1" showInputMessage="1" showErrorMessage="1" sqref="O17 E2:E555" xr:uid="{A08E777B-A501-4598-A86B-453BF9E6D581}">
      <formula1>Category</formula1>
    </dataValidation>
    <dataValidation type="list" allowBlank="1" showInputMessage="1" showErrorMessage="1" sqref="P17" xr:uid="{79CF15A6-A19B-4643-9265-209B23195910}">
      <formula1>INDIRECT(SUBSTITUTE($O$17," ", "_"))</formula1>
    </dataValidation>
    <dataValidation type="list" allowBlank="1" showInputMessage="1" showErrorMessage="1" sqref="F2:F555" xr:uid="{BFAA68A1-FA56-4E1E-A5B2-1EE2F890DD69}">
      <formula1>INDIRECT(SUBSTITUTE($E2," ", "_"))</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1474-A291-4E8A-AB14-6D30C0D4791B}">
  <sheetPr codeName="Sheet3"/>
  <dimension ref="A1:H151"/>
  <sheetViews>
    <sheetView showGridLines="0" zoomScale="112" workbookViewId="0">
      <pane ySplit="1" topLeftCell="A134" activePane="bottomLeft" state="frozen"/>
      <selection activeCell="B33" sqref="B33"/>
      <selection pane="bottomLeft" activeCell="G19" sqref="G19"/>
    </sheetView>
  </sheetViews>
  <sheetFormatPr defaultRowHeight="12.75" x14ac:dyDescent="0.2"/>
  <cols>
    <col min="1" max="1" width="7.28515625" bestFit="1" customWidth="1"/>
    <col min="2" max="2" width="8.5703125" bestFit="1" customWidth="1"/>
    <col min="3" max="3" width="19.140625" bestFit="1" customWidth="1"/>
    <col min="4" max="4" width="14.7109375" bestFit="1" customWidth="1"/>
    <col min="5" max="5" width="14.42578125" bestFit="1" customWidth="1"/>
    <col min="6" max="6" width="10.28515625" bestFit="1" customWidth="1"/>
    <col min="7" max="7" width="10.42578125" bestFit="1" customWidth="1"/>
    <col min="8" max="8" width="9.140625" bestFit="1" customWidth="1"/>
    <col min="9" max="9" width="15" bestFit="1" customWidth="1"/>
    <col min="14" max="14" width="14.140625" bestFit="1" customWidth="1"/>
  </cols>
  <sheetData>
    <row r="1" spans="1:7" ht="16.5" thickBot="1" x14ac:dyDescent="0.3">
      <c r="A1" s="17" t="s">
        <v>92</v>
      </c>
      <c r="B1" s="8" t="s">
        <v>93</v>
      </c>
      <c r="C1" s="16" t="s">
        <v>58</v>
      </c>
      <c r="D1" s="16" t="s">
        <v>107</v>
      </c>
      <c r="E1" s="16" t="s">
        <v>101</v>
      </c>
      <c r="F1" s="20" t="s">
        <v>94</v>
      </c>
      <c r="G1" s="20" t="s">
        <v>82</v>
      </c>
    </row>
    <row r="2" spans="1:7" x14ac:dyDescent="0.2">
      <c r="A2" s="5">
        <v>2021</v>
      </c>
      <c r="B2" s="5" t="s">
        <v>115</v>
      </c>
      <c r="C2" t="s">
        <v>81</v>
      </c>
      <c r="D2" s="1">
        <v>3565.6800000000003</v>
      </c>
      <c r="E2" s="18"/>
      <c r="F2" s="23">
        <f>Plan_Data[[#This Row],[Plan Budget]]/$D$2</f>
        <v>0</v>
      </c>
      <c r="G2" s="18">
        <f ca="1">IFERROR(IF(Plan_Data[[#This Row],[Category]]="Income", Plan_Data[[#This Row],[Plan Income]], OFFSET(Plan_Data[[#This Row],[Balance]],-1,0)+Plan_Data[[#This Row],[Plan Income]]-Plan_Data[[#This Row],[Plan Budget]]), Plan_Data[[#This Row],[Plan Income]])</f>
        <v>3565.6800000000003</v>
      </c>
    </row>
    <row r="3" spans="1:7" x14ac:dyDescent="0.2">
      <c r="A3" s="5">
        <v>2021</v>
      </c>
      <c r="B3" s="5" t="s">
        <v>115</v>
      </c>
      <c r="C3" t="s">
        <v>42</v>
      </c>
      <c r="D3" s="1"/>
      <c r="E3" s="18">
        <v>700</v>
      </c>
      <c r="F3" s="23">
        <f>Plan_Data[[#This Row],[Plan Budget]]/$D$2</f>
        <v>0.19631599021785465</v>
      </c>
      <c r="G3" s="18">
        <f ca="1">IFERROR(IF(Plan_Data[[#This Row],[Category]]="Income", Plan_Data[[#This Row],[Plan Income]], OFFSET(Plan_Data[[#This Row],[Balance]],-1,0)+Plan_Data[[#This Row],[Plan Income]]-Plan_Data[[#This Row],[Plan Budget]]), Plan_Data[[#This Row],[Plan Income]])</f>
        <v>2865.6800000000003</v>
      </c>
    </row>
    <row r="4" spans="1:7" x14ac:dyDescent="0.2">
      <c r="A4" s="5">
        <v>2021</v>
      </c>
      <c r="B4" s="5" t="s">
        <v>115</v>
      </c>
      <c r="C4" t="s">
        <v>48</v>
      </c>
      <c r="D4" s="1"/>
      <c r="E4" s="18">
        <v>2000</v>
      </c>
      <c r="F4" s="23">
        <f>Plan_Data[[#This Row],[Plan Budget]]/$D$2</f>
        <v>0.56090282919387036</v>
      </c>
      <c r="G4" s="18">
        <f ca="1">IFERROR(IF(Plan_Data[[#This Row],[Category]]="Income", Plan_Data[[#This Row],[Plan Income]], OFFSET(Plan_Data[[#This Row],[Balance]],-1,0)+Plan_Data[[#This Row],[Plan Income]]-Plan_Data[[#This Row],[Plan Budget]]), Plan_Data[[#This Row],[Plan Income]])</f>
        <v>865.68000000000029</v>
      </c>
    </row>
    <row r="5" spans="1:7" x14ac:dyDescent="0.2">
      <c r="A5" s="5">
        <v>2021</v>
      </c>
      <c r="B5" s="5" t="s">
        <v>115</v>
      </c>
      <c r="C5" t="s">
        <v>31</v>
      </c>
      <c r="D5" s="1"/>
      <c r="E5" s="18">
        <v>150</v>
      </c>
      <c r="F5" s="23">
        <f>Plan_Data[[#This Row],[Plan Budget]]/$D$2</f>
        <v>4.2067712189540279E-2</v>
      </c>
      <c r="G5" s="18">
        <f ca="1">IFERROR(IF(Plan_Data[[#This Row],[Category]]="Income", Plan_Data[[#This Row],[Plan Income]], OFFSET(Plan_Data[[#This Row],[Balance]],-1,0)+Plan_Data[[#This Row],[Plan Income]]-Plan_Data[[#This Row],[Plan Budget]]), Plan_Data[[#This Row],[Plan Income]])</f>
        <v>715.68000000000029</v>
      </c>
    </row>
    <row r="6" spans="1:7" x14ac:dyDescent="0.2">
      <c r="A6" s="5">
        <v>2021</v>
      </c>
      <c r="B6" s="5" t="s">
        <v>115</v>
      </c>
      <c r="C6" t="s">
        <v>44</v>
      </c>
      <c r="D6" s="1"/>
      <c r="E6" s="18">
        <v>60</v>
      </c>
      <c r="F6" s="23">
        <f>Plan_Data[[#This Row],[Plan Budget]]/$D$2</f>
        <v>1.6827084875816113E-2</v>
      </c>
      <c r="G6" s="18">
        <f ca="1">IFERROR(IF(Plan_Data[[#This Row],[Category]]="Income", Plan_Data[[#This Row],[Plan Income]], OFFSET(Plan_Data[[#This Row],[Balance]],-1,0)+Plan_Data[[#This Row],[Plan Income]]-Plan_Data[[#This Row],[Plan Budget]]), Plan_Data[[#This Row],[Plan Income]])</f>
        <v>655.68000000000029</v>
      </c>
    </row>
    <row r="7" spans="1:7" x14ac:dyDescent="0.2">
      <c r="A7" s="5">
        <v>2021</v>
      </c>
      <c r="B7" s="5" t="s">
        <v>115</v>
      </c>
      <c r="C7" t="s">
        <v>51</v>
      </c>
      <c r="D7" s="1"/>
      <c r="E7" s="18">
        <v>50</v>
      </c>
      <c r="F7" s="23">
        <f>Plan_Data[[#This Row],[Plan Budget]]/$D$2</f>
        <v>1.4022570729846761E-2</v>
      </c>
      <c r="G7" s="18">
        <f ca="1">IFERROR(IF(Plan_Data[[#This Row],[Category]]="Income", Plan_Data[[#This Row],[Plan Income]], OFFSET(Plan_Data[[#This Row],[Balance]],-1,0)+Plan_Data[[#This Row],[Plan Income]]-Plan_Data[[#This Row],[Plan Budget]]), Plan_Data[[#This Row],[Plan Income]])</f>
        <v>605.68000000000029</v>
      </c>
    </row>
    <row r="8" spans="1:7" x14ac:dyDescent="0.2">
      <c r="A8" s="5">
        <v>2021</v>
      </c>
      <c r="B8" s="5" t="s">
        <v>115</v>
      </c>
      <c r="C8" t="s">
        <v>53</v>
      </c>
      <c r="D8" s="1"/>
      <c r="E8" s="18">
        <v>150</v>
      </c>
      <c r="F8" s="23">
        <f>Plan_Data[[#This Row],[Plan Budget]]/$D$2</f>
        <v>4.2067712189540279E-2</v>
      </c>
      <c r="G8" s="18">
        <f ca="1">IFERROR(IF(Plan_Data[[#This Row],[Category]]="Income", Plan_Data[[#This Row],[Plan Income]], OFFSET(Plan_Data[[#This Row],[Balance]],-1,0)+Plan_Data[[#This Row],[Plan Income]]-Plan_Data[[#This Row],[Plan Budget]]), Plan_Data[[#This Row],[Plan Income]])</f>
        <v>455.68000000000029</v>
      </c>
    </row>
    <row r="9" spans="1:7" x14ac:dyDescent="0.2">
      <c r="A9" s="5">
        <v>2021</v>
      </c>
      <c r="B9" s="5" t="s">
        <v>115</v>
      </c>
      <c r="C9" t="s">
        <v>43</v>
      </c>
      <c r="D9" s="1"/>
      <c r="E9" s="18">
        <v>0</v>
      </c>
      <c r="F9" s="23">
        <f>Plan_Data[[#This Row],[Plan Budget]]/$D$2</f>
        <v>0</v>
      </c>
      <c r="G9" s="18">
        <f ca="1">IFERROR(IF(Plan_Data[[#This Row],[Category]]="Income", Plan_Data[[#This Row],[Plan Income]], OFFSET(Plan_Data[[#This Row],[Balance]],-1,0)+Plan_Data[[#This Row],[Plan Income]]-Plan_Data[[#This Row],[Plan Budget]]), Plan_Data[[#This Row],[Plan Income]])</f>
        <v>455.68000000000029</v>
      </c>
    </row>
    <row r="10" spans="1:7" x14ac:dyDescent="0.2">
      <c r="A10" s="5">
        <v>2021</v>
      </c>
      <c r="B10" s="5" t="s">
        <v>115</v>
      </c>
      <c r="C10" t="s">
        <v>18</v>
      </c>
      <c r="D10" s="1"/>
      <c r="E10" s="18">
        <v>0</v>
      </c>
      <c r="F10" s="23">
        <f>Plan_Data[[#This Row],[Plan Budget]]/$D$2</f>
        <v>0</v>
      </c>
      <c r="G10" s="18">
        <f ca="1">IFERROR(IF(Plan_Data[[#This Row],[Category]]="Income", Plan_Data[[#This Row],[Plan Income]], OFFSET(Plan_Data[[#This Row],[Balance]],-1,0)+Plan_Data[[#This Row],[Plan Income]]-Plan_Data[[#This Row],[Plan Budget]]), Plan_Data[[#This Row],[Plan Income]])</f>
        <v>455.68000000000029</v>
      </c>
    </row>
    <row r="11" spans="1:7" x14ac:dyDescent="0.2">
      <c r="A11" s="5">
        <v>2021</v>
      </c>
      <c r="B11" s="5" t="s">
        <v>115</v>
      </c>
      <c r="C11" t="s">
        <v>49</v>
      </c>
      <c r="D11" s="1"/>
      <c r="E11" s="18">
        <v>50</v>
      </c>
      <c r="F11" s="23">
        <f>Plan_Data[[#This Row],[Plan Budget]]/$D$2</f>
        <v>1.4022570729846761E-2</v>
      </c>
      <c r="G11" s="18">
        <f ca="1">IFERROR(IF(Plan_Data[[#This Row],[Category]]="Income", Plan_Data[[#This Row],[Plan Income]], OFFSET(Plan_Data[[#This Row],[Balance]],-1,0)+Plan_Data[[#This Row],[Plan Income]]-Plan_Data[[#This Row],[Plan Budget]]), Plan_Data[[#This Row],[Plan Income]])</f>
        <v>405.68000000000029</v>
      </c>
    </row>
    <row r="12" spans="1:7" x14ac:dyDescent="0.2">
      <c r="A12" s="5">
        <v>2021</v>
      </c>
      <c r="B12" s="5" t="s">
        <v>115</v>
      </c>
      <c r="C12" t="s">
        <v>50</v>
      </c>
      <c r="D12" s="1"/>
      <c r="E12" s="18">
        <v>0</v>
      </c>
      <c r="F12" s="23">
        <f>Plan_Data[[#This Row],[Plan Budget]]/$D$2</f>
        <v>0</v>
      </c>
      <c r="G12" s="18">
        <f ca="1">IFERROR(IF(Plan_Data[[#This Row],[Category]]="Income", Plan_Data[[#This Row],[Plan Income]], OFFSET(Plan_Data[[#This Row],[Balance]],-1,0)+Plan_Data[[#This Row],[Plan Income]]-Plan_Data[[#This Row],[Plan Budget]]), Plan_Data[[#This Row],[Plan Income]])</f>
        <v>405.68000000000029</v>
      </c>
    </row>
    <row r="13" spans="1:7" x14ac:dyDescent="0.2">
      <c r="A13" s="5">
        <v>2021</v>
      </c>
      <c r="B13" s="5" t="s">
        <v>115</v>
      </c>
      <c r="C13" t="s">
        <v>46</v>
      </c>
      <c r="D13" s="1"/>
      <c r="E13" s="18">
        <v>0</v>
      </c>
      <c r="F13" s="23">
        <f>Plan_Data[[#This Row],[Plan Budget]]/$D$2</f>
        <v>0</v>
      </c>
      <c r="G13" s="18">
        <f ca="1">IFERROR(IF(Plan_Data[[#This Row],[Category]]="Income", Plan_Data[[#This Row],[Plan Income]], OFFSET(Plan_Data[[#This Row],[Balance]],-1,0)+Plan_Data[[#This Row],[Plan Income]]-Plan_Data[[#This Row],[Plan Budget]]), Plan_Data[[#This Row],[Plan Income]])</f>
        <v>405.68000000000029</v>
      </c>
    </row>
    <row r="14" spans="1:7" x14ac:dyDescent="0.2">
      <c r="A14" s="5">
        <v>2021</v>
      </c>
      <c r="B14" s="5" t="s">
        <v>115</v>
      </c>
      <c r="C14" t="s">
        <v>47</v>
      </c>
      <c r="D14" s="1"/>
      <c r="E14" s="18">
        <v>0</v>
      </c>
      <c r="F14" s="23">
        <f>Plan_Data[[#This Row],[Plan Budget]]/$D$2</f>
        <v>0</v>
      </c>
      <c r="G14" s="18">
        <f ca="1">IFERROR(IF(Plan_Data[[#This Row],[Category]]="Income", Plan_Data[[#This Row],[Plan Income]], OFFSET(Plan_Data[[#This Row],[Balance]],-1,0)+Plan_Data[[#This Row],[Plan Income]]-Plan_Data[[#This Row],[Plan Budget]]), Plan_Data[[#This Row],[Plan Income]])</f>
        <v>405.68000000000029</v>
      </c>
    </row>
    <row r="15" spans="1:7" x14ac:dyDescent="0.2">
      <c r="A15" s="5">
        <v>2021</v>
      </c>
      <c r="B15" s="5" t="s">
        <v>115</v>
      </c>
      <c r="C15" t="s">
        <v>45</v>
      </c>
      <c r="D15" s="1"/>
      <c r="E15" s="18">
        <v>0</v>
      </c>
      <c r="F15" s="23">
        <f>Plan_Data[[#This Row],[Plan Budget]]/$D$2</f>
        <v>0</v>
      </c>
      <c r="G15" s="18">
        <f ca="1">IFERROR(IF(Plan_Data[[#This Row],[Category]]="Income", Plan_Data[[#This Row],[Plan Income]], OFFSET(Plan_Data[[#This Row],[Balance]],-1,0)+Plan_Data[[#This Row],[Plan Income]]-Plan_Data[[#This Row],[Plan Budget]]), Plan_Data[[#This Row],[Plan Income]])</f>
        <v>405.68000000000029</v>
      </c>
    </row>
    <row r="16" spans="1:7" x14ac:dyDescent="0.2">
      <c r="A16" s="5">
        <v>2021</v>
      </c>
      <c r="B16" s="5" t="s">
        <v>115</v>
      </c>
      <c r="C16" t="s">
        <v>11</v>
      </c>
      <c r="D16" s="1"/>
      <c r="E16" s="18">
        <v>10</v>
      </c>
      <c r="F16" s="23">
        <f>Plan_Data[[#This Row],[Plan Budget]]/$D$2</f>
        <v>2.8045141459693522E-3</v>
      </c>
      <c r="G16" s="18">
        <f ca="1">IFERROR(IF(Plan_Data[[#This Row],[Category]]="Income", Plan_Data[[#This Row],[Plan Income]], OFFSET(Plan_Data[[#This Row],[Balance]],-1,0)+Plan_Data[[#This Row],[Plan Income]]-Plan_Data[[#This Row],[Plan Budget]]), Plan_Data[[#This Row],[Plan Income]])</f>
        <v>395.68000000000029</v>
      </c>
    </row>
    <row r="17" spans="1:8" x14ac:dyDescent="0.2">
      <c r="A17" s="5">
        <v>2021</v>
      </c>
      <c r="B17" s="5" t="s">
        <v>110</v>
      </c>
      <c r="C17" t="s">
        <v>81</v>
      </c>
      <c r="D17" s="1">
        <v>3565.6800000000003</v>
      </c>
      <c r="E17" s="18"/>
      <c r="F17" s="23">
        <f>Plan_Data[[#This Row],[Plan Budget]]/$D$2</f>
        <v>0</v>
      </c>
      <c r="G17" s="18">
        <f ca="1">IFERROR(IF(Plan_Data[[#This Row],[Category]]="Income", Plan_Data[[#This Row],[Plan Income]], OFFSET(Plan_Data[[#This Row],[Balance]],-1,0)+Plan_Data[[#This Row],[Plan Income]]-Plan_Data[[#This Row],[Plan Budget]]), Plan_Data[[#This Row],[Plan Income]])</f>
        <v>3565.6800000000003</v>
      </c>
      <c r="H17" s="2"/>
    </row>
    <row r="18" spans="1:8" x14ac:dyDescent="0.2">
      <c r="A18" s="5">
        <v>2021</v>
      </c>
      <c r="B18" s="5" t="s">
        <v>110</v>
      </c>
      <c r="C18" t="s">
        <v>42</v>
      </c>
      <c r="D18" s="1"/>
      <c r="E18" s="18">
        <v>700</v>
      </c>
      <c r="F18" s="23">
        <f>Plan_Data[[#This Row],[Plan Budget]]/$D$2</f>
        <v>0.19631599021785465</v>
      </c>
      <c r="G18" s="18">
        <f ca="1">IFERROR(IF(Plan_Data[[#This Row],[Category]]="Income", Plan_Data[[#This Row],[Plan Income]], OFFSET(Plan_Data[[#This Row],[Balance]],-1,0)+Plan_Data[[#This Row],[Plan Income]]-Plan_Data[[#This Row],[Plan Budget]]), Plan_Data[[#This Row],[Plan Income]])</f>
        <v>2865.6800000000003</v>
      </c>
    </row>
    <row r="19" spans="1:8" x14ac:dyDescent="0.2">
      <c r="A19" s="5">
        <v>2021</v>
      </c>
      <c r="B19" s="5" t="s">
        <v>110</v>
      </c>
      <c r="C19" t="s">
        <v>48</v>
      </c>
      <c r="D19" s="1"/>
      <c r="E19" s="18">
        <v>2200</v>
      </c>
      <c r="F19" s="23">
        <f>Plan_Data[[#This Row],[Plan Budget]]/$D$2</f>
        <v>0.61699311211325747</v>
      </c>
      <c r="G19" s="18">
        <f ca="1">IFERROR(IF(Plan_Data[[#This Row],[Category]]="Income", Plan_Data[[#This Row],[Plan Income]], OFFSET(Plan_Data[[#This Row],[Balance]],-1,0)+Plan_Data[[#This Row],[Plan Income]]-Plan_Data[[#This Row],[Plan Budget]]), Plan_Data[[#This Row],[Plan Income]])</f>
        <v>665.68000000000029</v>
      </c>
    </row>
    <row r="20" spans="1:8" x14ac:dyDescent="0.2">
      <c r="A20" s="5">
        <v>2021</v>
      </c>
      <c r="B20" s="5" t="s">
        <v>110</v>
      </c>
      <c r="C20" t="s">
        <v>31</v>
      </c>
      <c r="D20" s="1"/>
      <c r="E20" s="18">
        <v>300</v>
      </c>
      <c r="F20" s="23">
        <f>Plan_Data[[#This Row],[Plan Budget]]/$D$2</f>
        <v>8.4135424379080559E-2</v>
      </c>
      <c r="G20" s="18">
        <f ca="1">IFERROR(IF(Plan_Data[[#This Row],[Category]]="Income", Plan_Data[[#This Row],[Plan Income]], OFFSET(Plan_Data[[#This Row],[Balance]],-1,0)+Plan_Data[[#This Row],[Plan Income]]-Plan_Data[[#This Row],[Plan Budget]]), Plan_Data[[#This Row],[Plan Income]])</f>
        <v>365.68000000000029</v>
      </c>
    </row>
    <row r="21" spans="1:8" x14ac:dyDescent="0.2">
      <c r="A21" s="5">
        <v>2021</v>
      </c>
      <c r="B21" s="5" t="s">
        <v>110</v>
      </c>
      <c r="C21" t="s">
        <v>44</v>
      </c>
      <c r="D21" s="1"/>
      <c r="E21" s="18">
        <v>60</v>
      </c>
      <c r="F21" s="23">
        <f>Plan_Data[[#This Row],[Plan Budget]]/$D$2</f>
        <v>1.6827084875816113E-2</v>
      </c>
      <c r="G21" s="18">
        <f ca="1">IFERROR(IF(Plan_Data[[#This Row],[Category]]="Income", Plan_Data[[#This Row],[Plan Income]], OFFSET(Plan_Data[[#This Row],[Balance]],-1,0)+Plan_Data[[#This Row],[Plan Income]]-Plan_Data[[#This Row],[Plan Budget]]), Plan_Data[[#This Row],[Plan Income]])</f>
        <v>305.68000000000029</v>
      </c>
    </row>
    <row r="22" spans="1:8" x14ac:dyDescent="0.2">
      <c r="A22" s="5">
        <v>2021</v>
      </c>
      <c r="B22" s="5" t="s">
        <v>110</v>
      </c>
      <c r="C22" t="s">
        <v>51</v>
      </c>
      <c r="D22" s="1"/>
      <c r="E22" s="18">
        <v>100</v>
      </c>
      <c r="F22" s="23">
        <f>Plan_Data[[#This Row],[Plan Budget]]/$D$2</f>
        <v>2.8045141459693522E-2</v>
      </c>
      <c r="G22" s="18">
        <f ca="1">IFERROR(IF(Plan_Data[[#This Row],[Category]]="Income", Plan_Data[[#This Row],[Plan Income]], OFFSET(Plan_Data[[#This Row],[Balance]],-1,0)+Plan_Data[[#This Row],[Plan Income]]-Plan_Data[[#This Row],[Plan Budget]]), Plan_Data[[#This Row],[Plan Income]])</f>
        <v>205.68000000000029</v>
      </c>
    </row>
    <row r="23" spans="1:8" x14ac:dyDescent="0.2">
      <c r="A23" s="5">
        <v>2021</v>
      </c>
      <c r="B23" s="5" t="s">
        <v>110</v>
      </c>
      <c r="C23" t="s">
        <v>53</v>
      </c>
      <c r="D23" s="1"/>
      <c r="E23" s="18">
        <v>50</v>
      </c>
      <c r="F23" s="23">
        <f>Plan_Data[[#This Row],[Plan Budget]]/$D$2</f>
        <v>1.4022570729846761E-2</v>
      </c>
      <c r="G23" s="18">
        <f ca="1">IFERROR(IF(Plan_Data[[#This Row],[Category]]="Income", Plan_Data[[#This Row],[Plan Income]], OFFSET(Plan_Data[[#This Row],[Balance]],-1,0)+Plan_Data[[#This Row],[Plan Income]]-Plan_Data[[#This Row],[Plan Budget]]), Plan_Data[[#This Row],[Plan Income]])</f>
        <v>155.68000000000029</v>
      </c>
    </row>
    <row r="24" spans="1:8" x14ac:dyDescent="0.2">
      <c r="A24" s="5">
        <v>2021</v>
      </c>
      <c r="B24" s="5" t="s">
        <v>110</v>
      </c>
      <c r="C24" t="s">
        <v>43</v>
      </c>
      <c r="D24" s="1"/>
      <c r="E24" s="18">
        <v>0</v>
      </c>
      <c r="F24" s="23">
        <f>Plan_Data[[#This Row],[Plan Budget]]/$D$2</f>
        <v>0</v>
      </c>
      <c r="G24" s="18">
        <f ca="1">IFERROR(IF(Plan_Data[[#This Row],[Category]]="Income", Plan_Data[[#This Row],[Plan Income]], OFFSET(Plan_Data[[#This Row],[Balance]],-1,0)+Plan_Data[[#This Row],[Plan Income]]-Plan_Data[[#This Row],[Plan Budget]]), Plan_Data[[#This Row],[Plan Income]])</f>
        <v>155.68000000000029</v>
      </c>
    </row>
    <row r="25" spans="1:8" x14ac:dyDescent="0.2">
      <c r="A25" s="5">
        <v>2021</v>
      </c>
      <c r="B25" s="5" t="s">
        <v>110</v>
      </c>
      <c r="C25" t="s">
        <v>18</v>
      </c>
      <c r="D25" s="1"/>
      <c r="E25" s="18">
        <v>0</v>
      </c>
      <c r="F25" s="23">
        <f>Plan_Data[[#This Row],[Plan Budget]]/$D$2</f>
        <v>0</v>
      </c>
      <c r="G25" s="18">
        <f ca="1">IFERROR(IF(Plan_Data[[#This Row],[Category]]="Income", Plan_Data[[#This Row],[Plan Income]], OFFSET(Plan_Data[[#This Row],[Balance]],-1,0)+Plan_Data[[#This Row],[Plan Income]]-Plan_Data[[#This Row],[Plan Budget]]), Plan_Data[[#This Row],[Plan Income]])</f>
        <v>155.68000000000029</v>
      </c>
    </row>
    <row r="26" spans="1:8" x14ac:dyDescent="0.2">
      <c r="A26" s="5">
        <v>2021</v>
      </c>
      <c r="B26" s="5" t="s">
        <v>110</v>
      </c>
      <c r="C26" t="s">
        <v>49</v>
      </c>
      <c r="D26" s="1"/>
      <c r="E26" s="18">
        <v>50</v>
      </c>
      <c r="F26" s="23">
        <f>Plan_Data[[#This Row],[Plan Budget]]/$D$2</f>
        <v>1.4022570729846761E-2</v>
      </c>
      <c r="G26" s="18">
        <f ca="1">IFERROR(IF(Plan_Data[[#This Row],[Category]]="Income", Plan_Data[[#This Row],[Plan Income]], OFFSET(Plan_Data[[#This Row],[Balance]],-1,0)+Plan_Data[[#This Row],[Plan Income]]-Plan_Data[[#This Row],[Plan Budget]]), Plan_Data[[#This Row],[Plan Income]])</f>
        <v>105.68000000000029</v>
      </c>
    </row>
    <row r="27" spans="1:8" x14ac:dyDescent="0.2">
      <c r="A27" s="5">
        <v>2021</v>
      </c>
      <c r="B27" s="5" t="s">
        <v>110</v>
      </c>
      <c r="C27" t="s">
        <v>50</v>
      </c>
      <c r="D27" s="1"/>
      <c r="E27" s="18">
        <v>0</v>
      </c>
      <c r="F27" s="23">
        <f>Plan_Data[[#This Row],[Plan Budget]]/$D$2</f>
        <v>0</v>
      </c>
      <c r="G27" s="18">
        <f ca="1">IFERROR(IF(Plan_Data[[#This Row],[Category]]="Income", Plan_Data[[#This Row],[Plan Income]], OFFSET(Plan_Data[[#This Row],[Balance]],-1,0)+Plan_Data[[#This Row],[Plan Income]]-Plan_Data[[#This Row],[Plan Budget]]), Plan_Data[[#This Row],[Plan Income]])</f>
        <v>105.68000000000029</v>
      </c>
    </row>
    <row r="28" spans="1:8" x14ac:dyDescent="0.2">
      <c r="A28" s="5">
        <v>2021</v>
      </c>
      <c r="B28" s="5" t="s">
        <v>110</v>
      </c>
      <c r="C28" t="s">
        <v>46</v>
      </c>
      <c r="D28" s="1"/>
      <c r="E28" s="18">
        <v>0</v>
      </c>
      <c r="F28" s="23">
        <f>Plan_Data[[#This Row],[Plan Budget]]/$D$2</f>
        <v>0</v>
      </c>
      <c r="G28" s="18">
        <f ca="1">IFERROR(IF(Plan_Data[[#This Row],[Category]]="Income", Plan_Data[[#This Row],[Plan Income]], OFFSET(Plan_Data[[#This Row],[Balance]],-1,0)+Plan_Data[[#This Row],[Plan Income]]-Plan_Data[[#This Row],[Plan Budget]]), Plan_Data[[#This Row],[Plan Income]])</f>
        <v>105.68000000000029</v>
      </c>
    </row>
    <row r="29" spans="1:8" x14ac:dyDescent="0.2">
      <c r="A29" s="5">
        <v>2021</v>
      </c>
      <c r="B29" s="5" t="s">
        <v>110</v>
      </c>
      <c r="C29" t="s">
        <v>47</v>
      </c>
      <c r="D29" s="1"/>
      <c r="E29" s="18">
        <v>0</v>
      </c>
      <c r="F29" s="23">
        <f>Plan_Data[[#This Row],[Plan Budget]]/$D$2</f>
        <v>0</v>
      </c>
      <c r="G29" s="18">
        <f ca="1">IFERROR(IF(Plan_Data[[#This Row],[Category]]="Income", Plan_Data[[#This Row],[Plan Income]], OFFSET(Plan_Data[[#This Row],[Balance]],-1,0)+Plan_Data[[#This Row],[Plan Income]]-Plan_Data[[#This Row],[Plan Budget]]), Plan_Data[[#This Row],[Plan Income]])</f>
        <v>105.68000000000029</v>
      </c>
    </row>
    <row r="30" spans="1:8" x14ac:dyDescent="0.2">
      <c r="A30" s="5">
        <v>2021</v>
      </c>
      <c r="B30" s="5" t="s">
        <v>110</v>
      </c>
      <c r="C30" t="s">
        <v>45</v>
      </c>
      <c r="D30" s="1"/>
      <c r="E30" s="18">
        <v>0</v>
      </c>
      <c r="F30" s="23">
        <f>Plan_Data[[#This Row],[Plan Budget]]/$D$2</f>
        <v>0</v>
      </c>
      <c r="G30" s="18">
        <f ca="1">IFERROR(IF(Plan_Data[[#This Row],[Category]]="Income", Plan_Data[[#This Row],[Plan Income]], OFFSET(Plan_Data[[#This Row],[Balance]],-1,0)+Plan_Data[[#This Row],[Plan Income]]-Plan_Data[[#This Row],[Plan Budget]]), Plan_Data[[#This Row],[Plan Income]])</f>
        <v>105.68000000000029</v>
      </c>
    </row>
    <row r="31" spans="1:8" x14ac:dyDescent="0.2">
      <c r="A31" s="5">
        <v>2021</v>
      </c>
      <c r="B31" s="5" t="s">
        <v>110</v>
      </c>
      <c r="C31" t="s">
        <v>11</v>
      </c>
      <c r="D31" s="1"/>
      <c r="E31" s="18">
        <v>0</v>
      </c>
      <c r="F31" s="23">
        <f>Plan_Data[[#This Row],[Plan Budget]]/$D$2</f>
        <v>0</v>
      </c>
      <c r="G31" s="18">
        <f ca="1">IFERROR(IF(Plan_Data[[#This Row],[Category]]="Income", Plan_Data[[#This Row],[Plan Income]], OFFSET(Plan_Data[[#This Row],[Balance]],-1,0)+Plan_Data[[#This Row],[Plan Income]]-Plan_Data[[#This Row],[Plan Budget]]), Plan_Data[[#This Row],[Plan Income]])</f>
        <v>105.68000000000029</v>
      </c>
    </row>
    <row r="32" spans="1:8" x14ac:dyDescent="0.2">
      <c r="A32" s="5">
        <v>2021</v>
      </c>
      <c r="B32" s="5" t="s">
        <v>116</v>
      </c>
      <c r="C32" t="s">
        <v>81</v>
      </c>
      <c r="D32" s="1">
        <v>3565.6800000000003</v>
      </c>
      <c r="E32" s="18"/>
      <c r="F32" s="64">
        <f>Plan_Data[[#This Row],[Plan Budget]]/$D$2</f>
        <v>0</v>
      </c>
      <c r="G32" s="18">
        <f ca="1">IFERROR(IF(Plan_Data[[#This Row],[Category]]="Income", Plan_Data[[#This Row],[Plan Income]], OFFSET(Plan_Data[[#This Row],[Balance]],-1,0)+Plan_Data[[#This Row],[Plan Income]]-Plan_Data[[#This Row],[Plan Budget]]), Plan_Data[[#This Row],[Plan Income]])</f>
        <v>3565.6800000000003</v>
      </c>
    </row>
    <row r="33" spans="1:7" x14ac:dyDescent="0.2">
      <c r="A33" s="5">
        <v>2021</v>
      </c>
      <c r="B33" s="5" t="s">
        <v>116</v>
      </c>
      <c r="C33" t="s">
        <v>42</v>
      </c>
      <c r="D33" s="1"/>
      <c r="E33" s="18">
        <v>700</v>
      </c>
      <c r="F33" s="64">
        <f>Plan_Data[[#This Row],[Plan Budget]]/$D$2</f>
        <v>0.19631599021785465</v>
      </c>
      <c r="G33" s="18">
        <f ca="1">IFERROR(IF(Plan_Data[[#This Row],[Category]]="Income", Plan_Data[[#This Row],[Plan Income]], OFFSET(Plan_Data[[#This Row],[Balance]],-1,0)+Plan_Data[[#This Row],[Plan Income]]-Plan_Data[[#This Row],[Plan Budget]]), Plan_Data[[#This Row],[Plan Income]])</f>
        <v>2865.6800000000003</v>
      </c>
    </row>
    <row r="34" spans="1:7" x14ac:dyDescent="0.2">
      <c r="A34" s="5">
        <v>2021</v>
      </c>
      <c r="B34" s="5" t="s">
        <v>116</v>
      </c>
      <c r="C34" t="s">
        <v>48</v>
      </c>
      <c r="D34" s="1"/>
      <c r="E34" s="18">
        <v>2200</v>
      </c>
      <c r="F34" s="64">
        <f>Plan_Data[[#This Row],[Plan Budget]]/$D$2</f>
        <v>0.61699311211325747</v>
      </c>
      <c r="G34" s="18">
        <f ca="1">IFERROR(IF(Plan_Data[[#This Row],[Category]]="Income", Plan_Data[[#This Row],[Plan Income]], OFFSET(Plan_Data[[#This Row],[Balance]],-1,0)+Plan_Data[[#This Row],[Plan Income]]-Plan_Data[[#This Row],[Plan Budget]]), Plan_Data[[#This Row],[Plan Income]])</f>
        <v>665.68000000000029</v>
      </c>
    </row>
    <row r="35" spans="1:7" x14ac:dyDescent="0.2">
      <c r="A35" s="5">
        <v>2021</v>
      </c>
      <c r="B35" s="5" t="s">
        <v>116</v>
      </c>
      <c r="C35" t="s">
        <v>31</v>
      </c>
      <c r="D35" s="1"/>
      <c r="E35" s="18">
        <v>200</v>
      </c>
      <c r="F35" s="64">
        <f>Plan_Data[[#This Row],[Plan Budget]]/$D$2</f>
        <v>5.6090282919387044E-2</v>
      </c>
      <c r="G35" s="18">
        <f ca="1">IFERROR(IF(Plan_Data[[#This Row],[Category]]="Income", Plan_Data[[#This Row],[Plan Income]], OFFSET(Plan_Data[[#This Row],[Balance]],-1,0)+Plan_Data[[#This Row],[Plan Income]]-Plan_Data[[#This Row],[Plan Budget]]), Plan_Data[[#This Row],[Plan Income]])</f>
        <v>465.68000000000029</v>
      </c>
    </row>
    <row r="36" spans="1:7" x14ac:dyDescent="0.2">
      <c r="A36" s="5">
        <v>2021</v>
      </c>
      <c r="B36" s="5" t="s">
        <v>116</v>
      </c>
      <c r="C36" t="s">
        <v>44</v>
      </c>
      <c r="D36" s="1"/>
      <c r="E36" s="18">
        <f>65+500</f>
        <v>565</v>
      </c>
      <c r="F36" s="64">
        <f>Plan_Data[[#This Row],[Plan Budget]]/$D$2</f>
        <v>0.15845504924726839</v>
      </c>
      <c r="G36" s="18">
        <f ca="1">IFERROR(IF(Plan_Data[[#This Row],[Category]]="Income", Plan_Data[[#This Row],[Plan Income]], OFFSET(Plan_Data[[#This Row],[Balance]],-1,0)+Plan_Data[[#This Row],[Plan Income]]-Plan_Data[[#This Row],[Plan Budget]]), Plan_Data[[#This Row],[Plan Income]])</f>
        <v>-99.319999999999709</v>
      </c>
    </row>
    <row r="37" spans="1:7" x14ac:dyDescent="0.2">
      <c r="A37" s="5">
        <v>2021</v>
      </c>
      <c r="B37" s="5" t="s">
        <v>116</v>
      </c>
      <c r="C37" t="s">
        <v>51</v>
      </c>
      <c r="D37" s="1"/>
      <c r="E37" s="18">
        <v>260</v>
      </c>
      <c r="F37" s="64">
        <f>Plan_Data[[#This Row],[Plan Budget]]/$D$2</f>
        <v>7.291736779520315E-2</v>
      </c>
      <c r="G37" s="18">
        <f ca="1">IFERROR(IF(Plan_Data[[#This Row],[Category]]="Income", Plan_Data[[#This Row],[Plan Income]], OFFSET(Plan_Data[[#This Row],[Balance]],-1,0)+Plan_Data[[#This Row],[Plan Income]]-Plan_Data[[#This Row],[Plan Budget]]), Plan_Data[[#This Row],[Plan Income]])</f>
        <v>-359.31999999999971</v>
      </c>
    </row>
    <row r="38" spans="1:7" x14ac:dyDescent="0.2">
      <c r="A38" s="5">
        <v>2021</v>
      </c>
      <c r="B38" s="5" t="s">
        <v>116</v>
      </c>
      <c r="C38" t="s">
        <v>53</v>
      </c>
      <c r="D38" s="1"/>
      <c r="E38" s="18">
        <v>50</v>
      </c>
      <c r="F38" s="64">
        <f>Plan_Data[[#This Row],[Plan Budget]]/$D$2</f>
        <v>1.4022570729846761E-2</v>
      </c>
      <c r="G38" s="18">
        <f ca="1">IFERROR(IF(Plan_Data[[#This Row],[Category]]="Income", Plan_Data[[#This Row],[Plan Income]], OFFSET(Plan_Data[[#This Row],[Balance]],-1,0)+Plan_Data[[#This Row],[Plan Income]]-Plan_Data[[#This Row],[Plan Budget]]), Plan_Data[[#This Row],[Plan Income]])</f>
        <v>-409.31999999999971</v>
      </c>
    </row>
    <row r="39" spans="1:7" x14ac:dyDescent="0.2">
      <c r="A39" s="5">
        <v>2021</v>
      </c>
      <c r="B39" s="5" t="s">
        <v>116</v>
      </c>
      <c r="C39" t="s">
        <v>43</v>
      </c>
      <c r="D39" s="1"/>
      <c r="E39" s="18">
        <v>0</v>
      </c>
      <c r="F39" s="64">
        <f>Plan_Data[[#This Row],[Plan Budget]]/$D$2</f>
        <v>0</v>
      </c>
      <c r="G39" s="18">
        <f ca="1">IFERROR(IF(Plan_Data[[#This Row],[Category]]="Income", Plan_Data[[#This Row],[Plan Income]], OFFSET(Plan_Data[[#This Row],[Balance]],-1,0)+Plan_Data[[#This Row],[Plan Income]]-Plan_Data[[#This Row],[Plan Budget]]), Plan_Data[[#This Row],[Plan Income]])</f>
        <v>-409.31999999999971</v>
      </c>
    </row>
    <row r="40" spans="1:7" x14ac:dyDescent="0.2">
      <c r="A40" s="5">
        <v>2021</v>
      </c>
      <c r="B40" s="5" t="s">
        <v>116</v>
      </c>
      <c r="C40" t="s">
        <v>18</v>
      </c>
      <c r="D40" s="1"/>
      <c r="E40" s="18">
        <v>0</v>
      </c>
      <c r="F40" s="64">
        <f>Plan_Data[[#This Row],[Plan Budget]]/$D$2</f>
        <v>0</v>
      </c>
      <c r="G40" s="18">
        <f ca="1">IFERROR(IF(Plan_Data[[#This Row],[Category]]="Income", Plan_Data[[#This Row],[Plan Income]], OFFSET(Plan_Data[[#This Row],[Balance]],-1,0)+Plan_Data[[#This Row],[Plan Income]]-Plan_Data[[#This Row],[Plan Budget]]), Plan_Data[[#This Row],[Plan Income]])</f>
        <v>-409.31999999999971</v>
      </c>
    </row>
    <row r="41" spans="1:7" x14ac:dyDescent="0.2">
      <c r="A41" s="5">
        <v>2021</v>
      </c>
      <c r="B41" s="5" t="s">
        <v>116</v>
      </c>
      <c r="C41" t="s">
        <v>49</v>
      </c>
      <c r="D41" s="1"/>
      <c r="E41" s="18">
        <v>0</v>
      </c>
      <c r="F41" s="64">
        <f>Plan_Data[[#This Row],[Plan Budget]]/$D$2</f>
        <v>0</v>
      </c>
      <c r="G41" s="18">
        <f ca="1">IFERROR(IF(Plan_Data[[#This Row],[Category]]="Income", Plan_Data[[#This Row],[Plan Income]], OFFSET(Plan_Data[[#This Row],[Balance]],-1,0)+Plan_Data[[#This Row],[Plan Income]]-Plan_Data[[#This Row],[Plan Budget]]), Plan_Data[[#This Row],[Plan Income]])</f>
        <v>-409.31999999999971</v>
      </c>
    </row>
    <row r="42" spans="1:7" x14ac:dyDescent="0.2">
      <c r="A42" s="5">
        <v>2021</v>
      </c>
      <c r="B42" s="5" t="s">
        <v>116</v>
      </c>
      <c r="C42" t="s">
        <v>50</v>
      </c>
      <c r="D42" s="1"/>
      <c r="E42" s="18">
        <v>0</v>
      </c>
      <c r="F42" s="64">
        <f>Plan_Data[[#This Row],[Plan Budget]]/$D$2</f>
        <v>0</v>
      </c>
      <c r="G42" s="18">
        <f ca="1">IFERROR(IF(Plan_Data[[#This Row],[Category]]="Income", Plan_Data[[#This Row],[Plan Income]], OFFSET(Plan_Data[[#This Row],[Balance]],-1,0)+Plan_Data[[#This Row],[Plan Income]]-Plan_Data[[#This Row],[Plan Budget]]), Plan_Data[[#This Row],[Plan Income]])</f>
        <v>-409.31999999999971</v>
      </c>
    </row>
    <row r="43" spans="1:7" x14ac:dyDescent="0.2">
      <c r="A43" s="5">
        <v>2021</v>
      </c>
      <c r="B43" s="5" t="s">
        <v>116</v>
      </c>
      <c r="C43" t="s">
        <v>46</v>
      </c>
      <c r="D43" s="1"/>
      <c r="E43" s="18">
        <v>0</v>
      </c>
      <c r="F43" s="64">
        <f>Plan_Data[[#This Row],[Plan Budget]]/$D$2</f>
        <v>0</v>
      </c>
      <c r="G43" s="18">
        <f ca="1">IFERROR(IF(Plan_Data[[#This Row],[Category]]="Income", Plan_Data[[#This Row],[Plan Income]], OFFSET(Plan_Data[[#This Row],[Balance]],-1,0)+Plan_Data[[#This Row],[Plan Income]]-Plan_Data[[#This Row],[Plan Budget]]), Plan_Data[[#This Row],[Plan Income]])</f>
        <v>-409.31999999999971</v>
      </c>
    </row>
    <row r="44" spans="1:7" x14ac:dyDescent="0.2">
      <c r="A44" s="5">
        <v>2021</v>
      </c>
      <c r="B44" s="5" t="s">
        <v>116</v>
      </c>
      <c r="C44" t="s">
        <v>47</v>
      </c>
      <c r="D44" s="1"/>
      <c r="E44" s="18">
        <v>0</v>
      </c>
      <c r="F44" s="64">
        <f>Plan_Data[[#This Row],[Plan Budget]]/$D$2</f>
        <v>0</v>
      </c>
      <c r="G44" s="18">
        <f ca="1">IFERROR(IF(Plan_Data[[#This Row],[Category]]="Income", Plan_Data[[#This Row],[Plan Income]], OFFSET(Plan_Data[[#This Row],[Balance]],-1,0)+Plan_Data[[#This Row],[Plan Income]]-Plan_Data[[#This Row],[Plan Budget]]), Plan_Data[[#This Row],[Plan Income]])</f>
        <v>-409.31999999999971</v>
      </c>
    </row>
    <row r="45" spans="1:7" x14ac:dyDescent="0.2">
      <c r="A45" s="5">
        <v>2021</v>
      </c>
      <c r="B45" s="5" t="s">
        <v>116</v>
      </c>
      <c r="C45" t="s">
        <v>45</v>
      </c>
      <c r="D45" s="1"/>
      <c r="E45" s="18">
        <v>0</v>
      </c>
      <c r="F45" s="64">
        <f>Plan_Data[[#This Row],[Plan Budget]]/$D$2</f>
        <v>0</v>
      </c>
      <c r="G45" s="18">
        <f ca="1">IFERROR(IF(Plan_Data[[#This Row],[Category]]="Income", Plan_Data[[#This Row],[Plan Income]], OFFSET(Plan_Data[[#This Row],[Balance]],-1,0)+Plan_Data[[#This Row],[Plan Income]]-Plan_Data[[#This Row],[Plan Budget]]), Plan_Data[[#This Row],[Plan Income]])</f>
        <v>-409.31999999999971</v>
      </c>
    </row>
    <row r="46" spans="1:7" x14ac:dyDescent="0.2">
      <c r="A46" s="5">
        <v>2021</v>
      </c>
      <c r="B46" s="5" t="s">
        <v>116</v>
      </c>
      <c r="C46" t="s">
        <v>11</v>
      </c>
      <c r="D46" s="1"/>
      <c r="E46" s="18">
        <v>0</v>
      </c>
      <c r="F46" s="64">
        <f>Plan_Data[[#This Row],[Plan Budget]]/$D$2</f>
        <v>0</v>
      </c>
      <c r="G46" s="18">
        <f ca="1">IFERROR(IF(Plan_Data[[#This Row],[Category]]="Income", Plan_Data[[#This Row],[Plan Income]], OFFSET(Plan_Data[[#This Row],[Balance]],-1,0)+Plan_Data[[#This Row],[Plan Income]]-Plan_Data[[#This Row],[Plan Budget]]), Plan_Data[[#This Row],[Plan Income]])</f>
        <v>-409.31999999999971</v>
      </c>
    </row>
    <row r="47" spans="1:7" x14ac:dyDescent="0.2">
      <c r="A47" s="5">
        <v>2021</v>
      </c>
      <c r="B47" s="5" t="s">
        <v>117</v>
      </c>
      <c r="C47" t="s">
        <v>81</v>
      </c>
      <c r="D47" s="1">
        <v>3565.6800000000003</v>
      </c>
      <c r="E47" s="18"/>
      <c r="F47" s="64">
        <f>Plan_Data[[#This Row],[Plan Budget]]/$D$2</f>
        <v>0</v>
      </c>
      <c r="G47" s="18">
        <f ca="1">IFERROR(IF(Plan_Data[[#This Row],[Category]]="Income", Plan_Data[[#This Row],[Plan Income]], OFFSET(Plan_Data[[#This Row],[Balance]],-1,0)+Plan_Data[[#This Row],[Plan Income]]-Plan_Data[[#This Row],[Plan Budget]]), Plan_Data[[#This Row],[Plan Income]])</f>
        <v>3565.6800000000003</v>
      </c>
    </row>
    <row r="48" spans="1:7" x14ac:dyDescent="0.2">
      <c r="A48" s="5">
        <v>2021</v>
      </c>
      <c r="B48" s="5" t="s">
        <v>117</v>
      </c>
      <c r="C48" t="s">
        <v>42</v>
      </c>
      <c r="D48" s="1"/>
      <c r="E48" s="18">
        <v>700</v>
      </c>
      <c r="F48" s="64">
        <f>Plan_Data[[#This Row],[Plan Budget]]/$D$2</f>
        <v>0.19631599021785465</v>
      </c>
      <c r="G48" s="18">
        <f ca="1">IFERROR(IF(Plan_Data[[#This Row],[Category]]="Income", Plan_Data[[#This Row],[Plan Income]], OFFSET(Plan_Data[[#This Row],[Balance]],-1,0)+Plan_Data[[#This Row],[Plan Income]]-Plan_Data[[#This Row],[Plan Budget]]), Plan_Data[[#This Row],[Plan Income]])</f>
        <v>2865.6800000000003</v>
      </c>
    </row>
    <row r="49" spans="1:7" x14ac:dyDescent="0.2">
      <c r="A49" s="5">
        <v>2021</v>
      </c>
      <c r="B49" s="5" t="s">
        <v>117</v>
      </c>
      <c r="C49" t="s">
        <v>48</v>
      </c>
      <c r="D49" s="1"/>
      <c r="E49" s="18">
        <v>2200</v>
      </c>
      <c r="F49" s="64">
        <f>Plan_Data[[#This Row],[Plan Budget]]/$D$2</f>
        <v>0.61699311211325747</v>
      </c>
      <c r="G49" s="18">
        <f ca="1">IFERROR(IF(Plan_Data[[#This Row],[Category]]="Income", Plan_Data[[#This Row],[Plan Income]], OFFSET(Plan_Data[[#This Row],[Balance]],-1,0)+Plan_Data[[#This Row],[Plan Income]]-Plan_Data[[#This Row],[Plan Budget]]), Plan_Data[[#This Row],[Plan Income]])</f>
        <v>665.68000000000029</v>
      </c>
    </row>
    <row r="50" spans="1:7" x14ac:dyDescent="0.2">
      <c r="A50" s="5">
        <v>2021</v>
      </c>
      <c r="B50" s="5" t="s">
        <v>117</v>
      </c>
      <c r="C50" t="s">
        <v>31</v>
      </c>
      <c r="D50" s="1"/>
      <c r="E50" s="18">
        <v>200</v>
      </c>
      <c r="F50" s="64">
        <f>Plan_Data[[#This Row],[Plan Budget]]/$D$2</f>
        <v>5.6090282919387044E-2</v>
      </c>
      <c r="G50" s="18">
        <f ca="1">IFERROR(IF(Plan_Data[[#This Row],[Category]]="Income", Plan_Data[[#This Row],[Plan Income]], OFFSET(Plan_Data[[#This Row],[Balance]],-1,0)+Plan_Data[[#This Row],[Plan Income]]-Plan_Data[[#This Row],[Plan Budget]]), Plan_Data[[#This Row],[Plan Income]])</f>
        <v>465.68000000000029</v>
      </c>
    </row>
    <row r="51" spans="1:7" x14ac:dyDescent="0.2">
      <c r="A51" s="5">
        <v>2021</v>
      </c>
      <c r="B51" s="5" t="s">
        <v>117</v>
      </c>
      <c r="C51" t="s">
        <v>44</v>
      </c>
      <c r="D51" s="1"/>
      <c r="E51" s="18">
        <f>5000+930+65</f>
        <v>5995</v>
      </c>
      <c r="F51" s="64">
        <f>Plan_Data[[#This Row],[Plan Budget]]/$D$2</f>
        <v>1.6813062305086266</v>
      </c>
      <c r="G51" s="18">
        <f ca="1">IFERROR(IF(Plan_Data[[#This Row],[Category]]="Income", Plan_Data[[#This Row],[Plan Income]], OFFSET(Plan_Data[[#This Row],[Balance]],-1,0)+Plan_Data[[#This Row],[Plan Income]]-Plan_Data[[#This Row],[Plan Budget]]), Plan_Data[[#This Row],[Plan Income]])</f>
        <v>-5529.32</v>
      </c>
    </row>
    <row r="52" spans="1:7" x14ac:dyDescent="0.2">
      <c r="A52" s="5">
        <v>2021</v>
      </c>
      <c r="B52" s="5" t="s">
        <v>117</v>
      </c>
      <c r="C52" t="s">
        <v>51</v>
      </c>
      <c r="D52" s="1"/>
      <c r="E52" s="18">
        <f>260+250</f>
        <v>510</v>
      </c>
      <c r="F52" s="64">
        <f>Plan_Data[[#This Row],[Plan Budget]]/$D$2</f>
        <v>0.14303022144443694</v>
      </c>
      <c r="G52" s="18">
        <f ca="1">IFERROR(IF(Plan_Data[[#This Row],[Category]]="Income", Plan_Data[[#This Row],[Plan Income]], OFFSET(Plan_Data[[#This Row],[Balance]],-1,0)+Plan_Data[[#This Row],[Plan Income]]-Plan_Data[[#This Row],[Plan Budget]]), Plan_Data[[#This Row],[Plan Income]])</f>
        <v>-6039.32</v>
      </c>
    </row>
    <row r="53" spans="1:7" x14ac:dyDescent="0.2">
      <c r="A53" s="5">
        <v>2021</v>
      </c>
      <c r="B53" s="5" t="s">
        <v>117</v>
      </c>
      <c r="C53" t="s">
        <v>53</v>
      </c>
      <c r="D53" s="1"/>
      <c r="E53" s="18">
        <v>300</v>
      </c>
      <c r="F53" s="64">
        <f>Plan_Data[[#This Row],[Plan Budget]]/$D$2</f>
        <v>8.4135424379080559E-2</v>
      </c>
      <c r="G53" s="18">
        <f ca="1">IFERROR(IF(Plan_Data[[#This Row],[Category]]="Income", Plan_Data[[#This Row],[Plan Income]], OFFSET(Plan_Data[[#This Row],[Balance]],-1,0)+Plan_Data[[#This Row],[Plan Income]]-Plan_Data[[#This Row],[Plan Budget]]), Plan_Data[[#This Row],[Plan Income]])</f>
        <v>-6339.32</v>
      </c>
    </row>
    <row r="54" spans="1:7" x14ac:dyDescent="0.2">
      <c r="A54" s="5">
        <v>2021</v>
      </c>
      <c r="B54" s="5" t="s">
        <v>117</v>
      </c>
      <c r="C54" t="s">
        <v>43</v>
      </c>
      <c r="D54" s="1"/>
      <c r="E54" s="18">
        <v>200</v>
      </c>
      <c r="F54" s="64">
        <f>Plan_Data[[#This Row],[Plan Budget]]/$D$2</f>
        <v>5.6090282919387044E-2</v>
      </c>
      <c r="G54" s="18">
        <f ca="1">IFERROR(IF(Plan_Data[[#This Row],[Category]]="Income", Plan_Data[[#This Row],[Plan Income]], OFFSET(Plan_Data[[#This Row],[Balance]],-1,0)+Plan_Data[[#This Row],[Plan Income]]-Plan_Data[[#This Row],[Plan Budget]]), Plan_Data[[#This Row],[Plan Income]])</f>
        <v>-6539.32</v>
      </c>
    </row>
    <row r="55" spans="1:7" x14ac:dyDescent="0.2">
      <c r="A55" s="5">
        <v>2021</v>
      </c>
      <c r="B55" s="5" t="s">
        <v>117</v>
      </c>
      <c r="C55" t="s">
        <v>18</v>
      </c>
      <c r="D55" s="1"/>
      <c r="E55" s="18">
        <v>0</v>
      </c>
      <c r="F55" s="64">
        <f>Plan_Data[[#This Row],[Plan Budget]]/$D$2</f>
        <v>0</v>
      </c>
      <c r="G55" s="18">
        <f ca="1">IFERROR(IF(Plan_Data[[#This Row],[Category]]="Income", Plan_Data[[#This Row],[Plan Income]], OFFSET(Plan_Data[[#This Row],[Balance]],-1,0)+Plan_Data[[#This Row],[Plan Income]]-Plan_Data[[#This Row],[Plan Budget]]), Plan_Data[[#This Row],[Plan Income]])</f>
        <v>-6539.32</v>
      </c>
    </row>
    <row r="56" spans="1:7" x14ac:dyDescent="0.2">
      <c r="A56" s="5">
        <v>2021</v>
      </c>
      <c r="B56" s="5" t="s">
        <v>117</v>
      </c>
      <c r="C56" t="s">
        <v>49</v>
      </c>
      <c r="D56" s="1"/>
      <c r="E56" s="18">
        <v>0</v>
      </c>
      <c r="F56" s="64">
        <f>Plan_Data[[#This Row],[Plan Budget]]/$D$2</f>
        <v>0</v>
      </c>
      <c r="G56" s="18">
        <f ca="1">IFERROR(IF(Plan_Data[[#This Row],[Category]]="Income", Plan_Data[[#This Row],[Plan Income]], OFFSET(Plan_Data[[#This Row],[Balance]],-1,0)+Plan_Data[[#This Row],[Plan Income]]-Plan_Data[[#This Row],[Plan Budget]]), Plan_Data[[#This Row],[Plan Income]])</f>
        <v>-6539.32</v>
      </c>
    </row>
    <row r="57" spans="1:7" x14ac:dyDescent="0.2">
      <c r="A57" s="5">
        <v>2021</v>
      </c>
      <c r="B57" s="5" t="s">
        <v>117</v>
      </c>
      <c r="C57" t="s">
        <v>50</v>
      </c>
      <c r="D57" s="1"/>
      <c r="E57" s="18">
        <v>0</v>
      </c>
      <c r="F57" s="64">
        <f>Plan_Data[[#This Row],[Plan Budget]]/$D$2</f>
        <v>0</v>
      </c>
      <c r="G57" s="18">
        <f ca="1">IFERROR(IF(Plan_Data[[#This Row],[Category]]="Income", Plan_Data[[#This Row],[Plan Income]], OFFSET(Plan_Data[[#This Row],[Balance]],-1,0)+Plan_Data[[#This Row],[Plan Income]]-Plan_Data[[#This Row],[Plan Budget]]), Plan_Data[[#This Row],[Plan Income]])</f>
        <v>-6539.32</v>
      </c>
    </row>
    <row r="58" spans="1:7" x14ac:dyDescent="0.2">
      <c r="A58" s="5">
        <v>2021</v>
      </c>
      <c r="B58" s="5" t="s">
        <v>117</v>
      </c>
      <c r="C58" t="s">
        <v>46</v>
      </c>
      <c r="D58" s="1"/>
      <c r="E58" s="18">
        <v>0</v>
      </c>
      <c r="F58" s="64">
        <f>Plan_Data[[#This Row],[Plan Budget]]/$D$2</f>
        <v>0</v>
      </c>
      <c r="G58" s="18">
        <f ca="1">IFERROR(IF(Plan_Data[[#This Row],[Category]]="Income", Plan_Data[[#This Row],[Plan Income]], OFFSET(Plan_Data[[#This Row],[Balance]],-1,0)+Plan_Data[[#This Row],[Plan Income]]-Plan_Data[[#This Row],[Plan Budget]]), Plan_Data[[#This Row],[Plan Income]])</f>
        <v>-6539.32</v>
      </c>
    </row>
    <row r="59" spans="1:7" x14ac:dyDescent="0.2">
      <c r="A59" s="5">
        <v>2021</v>
      </c>
      <c r="B59" s="5" t="s">
        <v>117</v>
      </c>
      <c r="C59" t="s">
        <v>47</v>
      </c>
      <c r="D59" s="1"/>
      <c r="E59" s="18">
        <v>0</v>
      </c>
      <c r="F59" s="64">
        <f>Plan_Data[[#This Row],[Plan Budget]]/$D$2</f>
        <v>0</v>
      </c>
      <c r="G59" s="18">
        <f ca="1">IFERROR(IF(Plan_Data[[#This Row],[Category]]="Income", Plan_Data[[#This Row],[Plan Income]], OFFSET(Plan_Data[[#This Row],[Balance]],-1,0)+Plan_Data[[#This Row],[Plan Income]]-Plan_Data[[#This Row],[Plan Budget]]), Plan_Data[[#This Row],[Plan Income]])</f>
        <v>-6539.32</v>
      </c>
    </row>
    <row r="60" spans="1:7" x14ac:dyDescent="0.2">
      <c r="A60" s="5">
        <v>2021</v>
      </c>
      <c r="B60" s="5" t="s">
        <v>117</v>
      </c>
      <c r="C60" t="s">
        <v>45</v>
      </c>
      <c r="D60" s="1"/>
      <c r="E60" s="18">
        <v>0</v>
      </c>
      <c r="F60" s="64">
        <f>Plan_Data[[#This Row],[Plan Budget]]/$D$2</f>
        <v>0</v>
      </c>
      <c r="G60" s="18">
        <f ca="1">IFERROR(IF(Plan_Data[[#This Row],[Category]]="Income", Plan_Data[[#This Row],[Plan Income]], OFFSET(Plan_Data[[#This Row],[Balance]],-1,0)+Plan_Data[[#This Row],[Plan Income]]-Plan_Data[[#This Row],[Plan Budget]]), Plan_Data[[#This Row],[Plan Income]])</f>
        <v>-6539.32</v>
      </c>
    </row>
    <row r="61" spans="1:7" x14ac:dyDescent="0.2">
      <c r="A61" s="5">
        <v>2021</v>
      </c>
      <c r="B61" s="5" t="s">
        <v>117</v>
      </c>
      <c r="C61" t="s">
        <v>11</v>
      </c>
      <c r="D61" s="1"/>
      <c r="E61" s="18">
        <v>0</v>
      </c>
      <c r="F61" s="64">
        <f>Plan_Data[[#This Row],[Plan Budget]]/$D$2</f>
        <v>0</v>
      </c>
      <c r="G61" s="18">
        <f ca="1">IFERROR(IF(Plan_Data[[#This Row],[Category]]="Income", Plan_Data[[#This Row],[Plan Income]], OFFSET(Plan_Data[[#This Row],[Balance]],-1,0)+Plan_Data[[#This Row],[Plan Income]]-Plan_Data[[#This Row],[Plan Budget]]), Plan_Data[[#This Row],[Plan Income]])</f>
        <v>-6539.32</v>
      </c>
    </row>
    <row r="62" spans="1:7" x14ac:dyDescent="0.2">
      <c r="A62" s="5">
        <v>2021</v>
      </c>
      <c r="B62" s="5" t="s">
        <v>118</v>
      </c>
      <c r="C62" t="s">
        <v>81</v>
      </c>
      <c r="D62" s="1">
        <v>3565.6800000000003</v>
      </c>
      <c r="E62" s="18"/>
      <c r="F62" s="64">
        <f>Plan_Data[[#This Row],[Plan Budget]]/$D$2</f>
        <v>0</v>
      </c>
      <c r="G62" s="18">
        <f ca="1">IFERROR(IF(Plan_Data[[#This Row],[Category]]="Income", Plan_Data[[#This Row],[Plan Income]], OFFSET(Plan_Data[[#This Row],[Balance]],-1,0)+Plan_Data[[#This Row],[Plan Income]]-Plan_Data[[#This Row],[Plan Budget]]), Plan_Data[[#This Row],[Plan Income]])</f>
        <v>3565.6800000000003</v>
      </c>
    </row>
    <row r="63" spans="1:7" x14ac:dyDescent="0.2">
      <c r="A63" s="5">
        <v>2021</v>
      </c>
      <c r="B63" s="5" t="s">
        <v>118</v>
      </c>
      <c r="C63" t="s">
        <v>42</v>
      </c>
      <c r="D63" s="1"/>
      <c r="E63" s="18">
        <v>500</v>
      </c>
      <c r="F63" s="64">
        <f>Plan_Data[[#This Row],[Plan Budget]]/$D$2</f>
        <v>0.14022570729846759</v>
      </c>
      <c r="G63" s="18">
        <f ca="1">IFERROR(IF(Plan_Data[[#This Row],[Category]]="Income", Plan_Data[[#This Row],[Plan Income]], OFFSET(Plan_Data[[#This Row],[Balance]],-1,0)+Plan_Data[[#This Row],[Plan Income]]-Plan_Data[[#This Row],[Plan Budget]]), Plan_Data[[#This Row],[Plan Income]])</f>
        <v>3065.6800000000003</v>
      </c>
    </row>
    <row r="64" spans="1:7" x14ac:dyDescent="0.2">
      <c r="A64" s="5">
        <v>2021</v>
      </c>
      <c r="B64" s="5" t="s">
        <v>118</v>
      </c>
      <c r="C64" t="s">
        <v>48</v>
      </c>
      <c r="D64" s="1"/>
      <c r="E64" s="18">
        <v>1900</v>
      </c>
      <c r="F64" s="64">
        <f>Plan_Data[[#This Row],[Plan Budget]]/$D$2</f>
        <v>0.53285768773417685</v>
      </c>
      <c r="G64" s="18">
        <f ca="1">IFERROR(IF(Plan_Data[[#This Row],[Category]]="Income", Plan_Data[[#This Row],[Plan Income]], OFFSET(Plan_Data[[#This Row],[Balance]],-1,0)+Plan_Data[[#This Row],[Plan Income]]-Plan_Data[[#This Row],[Plan Budget]]), Plan_Data[[#This Row],[Plan Income]])</f>
        <v>1165.6800000000003</v>
      </c>
    </row>
    <row r="65" spans="1:7" x14ac:dyDescent="0.2">
      <c r="A65" s="5">
        <v>2021</v>
      </c>
      <c r="B65" s="5" t="s">
        <v>118</v>
      </c>
      <c r="C65" t="s">
        <v>31</v>
      </c>
      <c r="D65" s="1"/>
      <c r="E65" s="18">
        <v>300</v>
      </c>
      <c r="F65" s="64">
        <f>Plan_Data[[#This Row],[Plan Budget]]/$D$2</f>
        <v>8.4135424379080559E-2</v>
      </c>
      <c r="G65" s="18">
        <f ca="1">IFERROR(IF(Plan_Data[[#This Row],[Category]]="Income", Plan_Data[[#This Row],[Plan Income]], OFFSET(Plan_Data[[#This Row],[Balance]],-1,0)+Plan_Data[[#This Row],[Plan Income]]-Plan_Data[[#This Row],[Plan Budget]]), Plan_Data[[#This Row],[Plan Income]])</f>
        <v>865.68000000000029</v>
      </c>
    </row>
    <row r="66" spans="1:7" x14ac:dyDescent="0.2">
      <c r="A66" s="5">
        <v>2021</v>
      </c>
      <c r="B66" s="5" t="s">
        <v>118</v>
      </c>
      <c r="C66" t="s">
        <v>44</v>
      </c>
      <c r="D66" s="1"/>
      <c r="E66" s="18">
        <f>420+120</f>
        <v>540</v>
      </c>
      <c r="F66" s="64">
        <f>Plan_Data[[#This Row],[Plan Budget]]/$D$2</f>
        <v>0.15144376388234501</v>
      </c>
      <c r="G66" s="18">
        <f ca="1">IFERROR(IF(Plan_Data[[#This Row],[Category]]="Income", Plan_Data[[#This Row],[Plan Income]], OFFSET(Plan_Data[[#This Row],[Balance]],-1,0)+Plan_Data[[#This Row],[Plan Income]]-Plan_Data[[#This Row],[Plan Budget]]), Plan_Data[[#This Row],[Plan Income]])</f>
        <v>325.68000000000029</v>
      </c>
    </row>
    <row r="67" spans="1:7" x14ac:dyDescent="0.2">
      <c r="A67" s="5">
        <v>2021</v>
      </c>
      <c r="B67" s="5" t="s">
        <v>118</v>
      </c>
      <c r="C67" t="s">
        <v>51</v>
      </c>
      <c r="D67" s="1"/>
      <c r="E67" s="18">
        <v>260</v>
      </c>
      <c r="F67" s="64">
        <f>Plan_Data[[#This Row],[Plan Budget]]/$D$2</f>
        <v>7.291736779520315E-2</v>
      </c>
      <c r="G67" s="18">
        <f ca="1">IFERROR(IF(Plan_Data[[#This Row],[Category]]="Income", Plan_Data[[#This Row],[Plan Income]], OFFSET(Plan_Data[[#This Row],[Balance]],-1,0)+Plan_Data[[#This Row],[Plan Income]]-Plan_Data[[#This Row],[Plan Budget]]), Plan_Data[[#This Row],[Plan Income]])</f>
        <v>65.680000000000291</v>
      </c>
    </row>
    <row r="68" spans="1:7" x14ac:dyDescent="0.2">
      <c r="A68" s="5">
        <v>2021</v>
      </c>
      <c r="B68" s="5" t="s">
        <v>118</v>
      </c>
      <c r="C68" t="s">
        <v>53</v>
      </c>
      <c r="D68" s="1"/>
      <c r="E68" s="18">
        <v>0</v>
      </c>
      <c r="F68" s="64">
        <f>Plan_Data[[#This Row],[Plan Budget]]/$D$2</f>
        <v>0</v>
      </c>
      <c r="G68" s="18">
        <f ca="1">IFERROR(IF(Plan_Data[[#This Row],[Category]]="Income", Plan_Data[[#This Row],[Plan Income]], OFFSET(Plan_Data[[#This Row],[Balance]],-1,0)+Plan_Data[[#This Row],[Plan Income]]-Plan_Data[[#This Row],[Plan Budget]]), Plan_Data[[#This Row],[Plan Income]])</f>
        <v>65.680000000000291</v>
      </c>
    </row>
    <row r="69" spans="1:7" x14ac:dyDescent="0.2">
      <c r="A69" s="5">
        <v>2021</v>
      </c>
      <c r="B69" s="5" t="s">
        <v>118</v>
      </c>
      <c r="C69" t="s">
        <v>43</v>
      </c>
      <c r="D69" s="1"/>
      <c r="E69" s="18">
        <v>0</v>
      </c>
      <c r="F69" s="64">
        <f>Plan_Data[[#This Row],[Plan Budget]]/$D$2</f>
        <v>0</v>
      </c>
      <c r="G69" s="18">
        <f ca="1">IFERROR(IF(Plan_Data[[#This Row],[Category]]="Income", Plan_Data[[#This Row],[Plan Income]], OFFSET(Plan_Data[[#This Row],[Balance]],-1,0)+Plan_Data[[#This Row],[Plan Income]]-Plan_Data[[#This Row],[Plan Budget]]), Plan_Data[[#This Row],[Plan Income]])</f>
        <v>65.680000000000291</v>
      </c>
    </row>
    <row r="70" spans="1:7" x14ac:dyDescent="0.2">
      <c r="A70" s="5">
        <v>2021</v>
      </c>
      <c r="B70" s="5" t="s">
        <v>118</v>
      </c>
      <c r="C70" t="s">
        <v>18</v>
      </c>
      <c r="D70" s="1"/>
      <c r="E70" s="18">
        <v>0</v>
      </c>
      <c r="F70" s="64">
        <f>Plan_Data[[#This Row],[Plan Budget]]/$D$2</f>
        <v>0</v>
      </c>
      <c r="G70" s="18">
        <f ca="1">IFERROR(IF(Plan_Data[[#This Row],[Category]]="Income", Plan_Data[[#This Row],[Plan Income]], OFFSET(Plan_Data[[#This Row],[Balance]],-1,0)+Plan_Data[[#This Row],[Plan Income]]-Plan_Data[[#This Row],[Plan Budget]]), Plan_Data[[#This Row],[Plan Income]])</f>
        <v>65.680000000000291</v>
      </c>
    </row>
    <row r="71" spans="1:7" x14ac:dyDescent="0.2">
      <c r="A71" s="5">
        <v>2021</v>
      </c>
      <c r="B71" s="5" t="s">
        <v>118</v>
      </c>
      <c r="C71" t="s">
        <v>49</v>
      </c>
      <c r="D71" s="1"/>
      <c r="E71" s="18">
        <v>0</v>
      </c>
      <c r="F71" s="64">
        <f>Plan_Data[[#This Row],[Plan Budget]]/$D$2</f>
        <v>0</v>
      </c>
      <c r="G71" s="18">
        <f ca="1">IFERROR(IF(Plan_Data[[#This Row],[Category]]="Income", Plan_Data[[#This Row],[Plan Income]], OFFSET(Plan_Data[[#This Row],[Balance]],-1,0)+Plan_Data[[#This Row],[Plan Income]]-Plan_Data[[#This Row],[Plan Budget]]), Plan_Data[[#This Row],[Plan Income]])</f>
        <v>65.680000000000291</v>
      </c>
    </row>
    <row r="72" spans="1:7" x14ac:dyDescent="0.2">
      <c r="A72" s="5">
        <v>2021</v>
      </c>
      <c r="B72" s="5" t="s">
        <v>118</v>
      </c>
      <c r="C72" t="s">
        <v>50</v>
      </c>
      <c r="D72" s="1"/>
      <c r="E72" s="18">
        <v>0</v>
      </c>
      <c r="F72" s="64">
        <f>Plan_Data[[#This Row],[Plan Budget]]/$D$2</f>
        <v>0</v>
      </c>
      <c r="G72" s="18">
        <f ca="1">IFERROR(IF(Plan_Data[[#This Row],[Category]]="Income", Plan_Data[[#This Row],[Plan Income]], OFFSET(Plan_Data[[#This Row],[Balance]],-1,0)+Plan_Data[[#This Row],[Plan Income]]-Plan_Data[[#This Row],[Plan Budget]]), Plan_Data[[#This Row],[Plan Income]])</f>
        <v>65.680000000000291</v>
      </c>
    </row>
    <row r="73" spans="1:7" x14ac:dyDescent="0.2">
      <c r="A73" s="5">
        <v>2021</v>
      </c>
      <c r="B73" s="5" t="s">
        <v>118</v>
      </c>
      <c r="C73" t="s">
        <v>46</v>
      </c>
      <c r="D73" s="1"/>
      <c r="E73" s="18">
        <v>0</v>
      </c>
      <c r="F73" s="64">
        <f>Plan_Data[[#This Row],[Plan Budget]]/$D$2</f>
        <v>0</v>
      </c>
      <c r="G73" s="18">
        <f ca="1">IFERROR(IF(Plan_Data[[#This Row],[Category]]="Income", Plan_Data[[#This Row],[Plan Income]], OFFSET(Plan_Data[[#This Row],[Balance]],-1,0)+Plan_Data[[#This Row],[Plan Income]]-Plan_Data[[#This Row],[Plan Budget]]), Plan_Data[[#This Row],[Plan Income]])</f>
        <v>65.680000000000291</v>
      </c>
    </row>
    <row r="74" spans="1:7" x14ac:dyDescent="0.2">
      <c r="A74" s="5">
        <v>2021</v>
      </c>
      <c r="B74" s="5" t="s">
        <v>118</v>
      </c>
      <c r="C74" t="s">
        <v>47</v>
      </c>
      <c r="D74" s="1"/>
      <c r="E74" s="18">
        <v>0</v>
      </c>
      <c r="F74" s="64">
        <f>Plan_Data[[#This Row],[Plan Budget]]/$D$2</f>
        <v>0</v>
      </c>
      <c r="G74" s="18">
        <f ca="1">IFERROR(IF(Plan_Data[[#This Row],[Category]]="Income", Plan_Data[[#This Row],[Plan Income]], OFFSET(Plan_Data[[#This Row],[Balance]],-1,0)+Plan_Data[[#This Row],[Plan Income]]-Plan_Data[[#This Row],[Plan Budget]]), Plan_Data[[#This Row],[Plan Income]])</f>
        <v>65.680000000000291</v>
      </c>
    </row>
    <row r="75" spans="1:7" x14ac:dyDescent="0.2">
      <c r="A75" s="5">
        <v>2021</v>
      </c>
      <c r="B75" s="5" t="s">
        <v>118</v>
      </c>
      <c r="C75" t="s">
        <v>45</v>
      </c>
      <c r="D75" s="1"/>
      <c r="E75" s="18">
        <v>0</v>
      </c>
      <c r="F75" s="64">
        <f>Plan_Data[[#This Row],[Plan Budget]]/$D$2</f>
        <v>0</v>
      </c>
      <c r="G75" s="18">
        <f ca="1">IFERROR(IF(Plan_Data[[#This Row],[Category]]="Income", Plan_Data[[#This Row],[Plan Income]], OFFSET(Plan_Data[[#This Row],[Balance]],-1,0)+Plan_Data[[#This Row],[Plan Income]]-Plan_Data[[#This Row],[Plan Budget]]), Plan_Data[[#This Row],[Plan Income]])</f>
        <v>65.680000000000291</v>
      </c>
    </row>
    <row r="76" spans="1:7" x14ac:dyDescent="0.2">
      <c r="A76" s="5">
        <v>2021</v>
      </c>
      <c r="B76" s="5" t="s">
        <v>118</v>
      </c>
      <c r="C76" t="s">
        <v>11</v>
      </c>
      <c r="D76" s="1"/>
      <c r="E76" s="18">
        <v>0</v>
      </c>
      <c r="F76" s="64">
        <f>Plan_Data[[#This Row],[Plan Budget]]/$D$2</f>
        <v>0</v>
      </c>
      <c r="G76" s="18">
        <f ca="1">IFERROR(IF(Plan_Data[[#This Row],[Category]]="Income", Plan_Data[[#This Row],[Plan Income]], OFFSET(Plan_Data[[#This Row],[Balance]],-1,0)+Plan_Data[[#This Row],[Plan Income]]-Plan_Data[[#This Row],[Plan Budget]]), Plan_Data[[#This Row],[Plan Income]])</f>
        <v>65.680000000000291</v>
      </c>
    </row>
    <row r="77" spans="1:7" x14ac:dyDescent="0.2">
      <c r="A77" s="5">
        <v>2021</v>
      </c>
      <c r="B77" s="5" t="s">
        <v>119</v>
      </c>
      <c r="C77" t="s">
        <v>81</v>
      </c>
      <c r="D77" s="1">
        <v>3565.6800000000003</v>
      </c>
      <c r="E77" s="18"/>
      <c r="F77" s="64">
        <f>Plan_Data[[#This Row],[Plan Budget]]/$D$2</f>
        <v>0</v>
      </c>
      <c r="G77" s="18">
        <f ca="1">IFERROR(IF(Plan_Data[[#This Row],[Category]]="Income", Plan_Data[[#This Row],[Plan Income]], OFFSET(Plan_Data[[#This Row],[Balance]],-1,0)+Plan_Data[[#This Row],[Plan Income]]-Plan_Data[[#This Row],[Plan Budget]]), Plan_Data[[#This Row],[Plan Income]])</f>
        <v>3565.6800000000003</v>
      </c>
    </row>
    <row r="78" spans="1:7" x14ac:dyDescent="0.2">
      <c r="A78" s="5">
        <v>2021</v>
      </c>
      <c r="B78" s="5" t="s">
        <v>119</v>
      </c>
      <c r="C78" t="s">
        <v>42</v>
      </c>
      <c r="D78" s="1"/>
      <c r="E78" s="18">
        <v>500</v>
      </c>
      <c r="F78" s="64">
        <f>Plan_Data[[#This Row],[Plan Budget]]/$D$2</f>
        <v>0.14022570729846759</v>
      </c>
      <c r="G78" s="18">
        <f ca="1">IFERROR(IF(Plan_Data[[#This Row],[Category]]="Income", Plan_Data[[#This Row],[Plan Income]], OFFSET(Plan_Data[[#This Row],[Balance]],-1,0)+Plan_Data[[#This Row],[Plan Income]]-Plan_Data[[#This Row],[Plan Budget]]), Plan_Data[[#This Row],[Plan Income]])</f>
        <v>3065.6800000000003</v>
      </c>
    </row>
    <row r="79" spans="1:7" x14ac:dyDescent="0.2">
      <c r="A79" s="5">
        <v>2021</v>
      </c>
      <c r="B79" s="5" t="s">
        <v>119</v>
      </c>
      <c r="C79" t="s">
        <v>48</v>
      </c>
      <c r="D79" s="1"/>
      <c r="E79" s="18">
        <v>1500</v>
      </c>
      <c r="F79" s="64">
        <f>Plan_Data[[#This Row],[Plan Budget]]/$D$2</f>
        <v>0.42067712189540279</v>
      </c>
      <c r="G79" s="18">
        <f ca="1">IFERROR(IF(Plan_Data[[#This Row],[Category]]="Income", Plan_Data[[#This Row],[Plan Income]], OFFSET(Plan_Data[[#This Row],[Balance]],-1,0)+Plan_Data[[#This Row],[Plan Income]]-Plan_Data[[#This Row],[Plan Budget]]), Plan_Data[[#This Row],[Plan Income]])</f>
        <v>1565.6800000000003</v>
      </c>
    </row>
    <row r="80" spans="1:7" x14ac:dyDescent="0.2">
      <c r="A80" s="5">
        <v>2021</v>
      </c>
      <c r="B80" s="5" t="s">
        <v>119</v>
      </c>
      <c r="C80" t="s">
        <v>31</v>
      </c>
      <c r="D80" s="1"/>
      <c r="E80" s="18">
        <v>500</v>
      </c>
      <c r="F80" s="64">
        <f>Plan_Data[[#This Row],[Plan Budget]]/$D$2</f>
        <v>0.14022570729846759</v>
      </c>
      <c r="G80" s="18">
        <f ca="1">IFERROR(IF(Plan_Data[[#This Row],[Category]]="Income", Plan_Data[[#This Row],[Plan Income]], OFFSET(Plan_Data[[#This Row],[Balance]],-1,0)+Plan_Data[[#This Row],[Plan Income]]-Plan_Data[[#This Row],[Plan Budget]]), Plan_Data[[#This Row],[Plan Income]])</f>
        <v>1065.6800000000003</v>
      </c>
    </row>
    <row r="81" spans="1:7" x14ac:dyDescent="0.2">
      <c r="A81" s="5">
        <v>2021</v>
      </c>
      <c r="B81" s="5" t="s">
        <v>119</v>
      </c>
      <c r="C81" t="s">
        <v>44</v>
      </c>
      <c r="D81" s="1"/>
      <c r="E81" s="18">
        <f>420+120</f>
        <v>540</v>
      </c>
      <c r="F81" s="64">
        <f>Plan_Data[[#This Row],[Plan Budget]]/$D$2</f>
        <v>0.15144376388234501</v>
      </c>
      <c r="G81" s="18">
        <f ca="1">IFERROR(IF(Plan_Data[[#This Row],[Category]]="Income", Plan_Data[[#This Row],[Plan Income]], OFFSET(Plan_Data[[#This Row],[Balance]],-1,0)+Plan_Data[[#This Row],[Plan Income]]-Plan_Data[[#This Row],[Plan Budget]]), Plan_Data[[#This Row],[Plan Income]])</f>
        <v>525.68000000000029</v>
      </c>
    </row>
    <row r="82" spans="1:7" x14ac:dyDescent="0.2">
      <c r="A82" s="5">
        <v>2021</v>
      </c>
      <c r="B82" s="5" t="s">
        <v>119</v>
      </c>
      <c r="C82" t="s">
        <v>51</v>
      </c>
      <c r="D82" s="1"/>
      <c r="E82" s="18">
        <v>260</v>
      </c>
      <c r="F82" s="64">
        <f>Plan_Data[[#This Row],[Plan Budget]]/$D$2</f>
        <v>7.291736779520315E-2</v>
      </c>
      <c r="G82" s="18">
        <f ca="1">IFERROR(IF(Plan_Data[[#This Row],[Category]]="Income", Plan_Data[[#This Row],[Plan Income]], OFFSET(Plan_Data[[#This Row],[Balance]],-1,0)+Plan_Data[[#This Row],[Plan Income]]-Plan_Data[[#This Row],[Plan Budget]]), Plan_Data[[#This Row],[Plan Income]])</f>
        <v>265.68000000000029</v>
      </c>
    </row>
    <row r="83" spans="1:7" x14ac:dyDescent="0.2">
      <c r="A83" s="5">
        <v>2021</v>
      </c>
      <c r="B83" s="5" t="s">
        <v>119</v>
      </c>
      <c r="C83" t="s">
        <v>53</v>
      </c>
      <c r="D83" s="1"/>
      <c r="E83" s="18">
        <v>200</v>
      </c>
      <c r="F83" s="64">
        <f>Plan_Data[[#This Row],[Plan Budget]]/$D$2</f>
        <v>5.6090282919387044E-2</v>
      </c>
      <c r="G83" s="18">
        <f ca="1">IFERROR(IF(Plan_Data[[#This Row],[Category]]="Income", Plan_Data[[#This Row],[Plan Income]], OFFSET(Plan_Data[[#This Row],[Balance]],-1,0)+Plan_Data[[#This Row],[Plan Income]]-Plan_Data[[#This Row],[Plan Budget]]), Plan_Data[[#This Row],[Plan Income]])</f>
        <v>65.680000000000291</v>
      </c>
    </row>
    <row r="84" spans="1:7" x14ac:dyDescent="0.2">
      <c r="A84" s="5">
        <v>2021</v>
      </c>
      <c r="B84" s="5" t="s">
        <v>119</v>
      </c>
      <c r="C84" t="s">
        <v>43</v>
      </c>
      <c r="D84" s="1"/>
      <c r="E84" s="18">
        <v>0</v>
      </c>
      <c r="F84" s="64">
        <f>Plan_Data[[#This Row],[Plan Budget]]/$D$2</f>
        <v>0</v>
      </c>
      <c r="G84" s="18">
        <f ca="1">IFERROR(IF(Plan_Data[[#This Row],[Category]]="Income", Plan_Data[[#This Row],[Plan Income]], OFFSET(Plan_Data[[#This Row],[Balance]],-1,0)+Plan_Data[[#This Row],[Plan Income]]-Plan_Data[[#This Row],[Plan Budget]]), Plan_Data[[#This Row],[Plan Income]])</f>
        <v>65.680000000000291</v>
      </c>
    </row>
    <row r="85" spans="1:7" x14ac:dyDescent="0.2">
      <c r="A85" s="5">
        <v>2021</v>
      </c>
      <c r="B85" s="5" t="s">
        <v>119</v>
      </c>
      <c r="C85" t="s">
        <v>18</v>
      </c>
      <c r="D85" s="1"/>
      <c r="E85" s="18">
        <v>0</v>
      </c>
      <c r="F85" s="64">
        <f>Plan_Data[[#This Row],[Plan Budget]]/$D$2</f>
        <v>0</v>
      </c>
      <c r="G85" s="18">
        <f ca="1">IFERROR(IF(Plan_Data[[#This Row],[Category]]="Income", Plan_Data[[#This Row],[Plan Income]], OFFSET(Plan_Data[[#This Row],[Balance]],-1,0)+Plan_Data[[#This Row],[Plan Income]]-Plan_Data[[#This Row],[Plan Budget]]), Plan_Data[[#This Row],[Plan Income]])</f>
        <v>65.680000000000291</v>
      </c>
    </row>
    <row r="86" spans="1:7" x14ac:dyDescent="0.2">
      <c r="A86" s="5">
        <v>2021</v>
      </c>
      <c r="B86" s="5" t="s">
        <v>119</v>
      </c>
      <c r="C86" t="s">
        <v>49</v>
      </c>
      <c r="D86" s="1"/>
      <c r="E86" s="18">
        <v>0</v>
      </c>
      <c r="F86" s="64">
        <f>Plan_Data[[#This Row],[Plan Budget]]/$D$2</f>
        <v>0</v>
      </c>
      <c r="G86" s="18">
        <f ca="1">IFERROR(IF(Plan_Data[[#This Row],[Category]]="Income", Plan_Data[[#This Row],[Plan Income]], OFFSET(Plan_Data[[#This Row],[Balance]],-1,0)+Plan_Data[[#This Row],[Plan Income]]-Plan_Data[[#This Row],[Plan Budget]]), Plan_Data[[#This Row],[Plan Income]])</f>
        <v>65.680000000000291</v>
      </c>
    </row>
    <row r="87" spans="1:7" x14ac:dyDescent="0.2">
      <c r="A87" s="5">
        <v>2021</v>
      </c>
      <c r="B87" s="5" t="s">
        <v>119</v>
      </c>
      <c r="C87" t="s">
        <v>50</v>
      </c>
      <c r="D87" s="1"/>
      <c r="E87" s="18">
        <v>0</v>
      </c>
      <c r="F87" s="64">
        <f>Plan_Data[[#This Row],[Plan Budget]]/$D$2</f>
        <v>0</v>
      </c>
      <c r="G87" s="18">
        <f ca="1">IFERROR(IF(Plan_Data[[#This Row],[Category]]="Income", Plan_Data[[#This Row],[Plan Income]], OFFSET(Plan_Data[[#This Row],[Balance]],-1,0)+Plan_Data[[#This Row],[Plan Income]]-Plan_Data[[#This Row],[Plan Budget]]), Plan_Data[[#This Row],[Plan Income]])</f>
        <v>65.680000000000291</v>
      </c>
    </row>
    <row r="88" spans="1:7" x14ac:dyDescent="0.2">
      <c r="A88" s="5">
        <v>2021</v>
      </c>
      <c r="B88" s="5" t="s">
        <v>119</v>
      </c>
      <c r="C88" t="s">
        <v>46</v>
      </c>
      <c r="D88" s="1"/>
      <c r="E88" s="18">
        <v>0</v>
      </c>
      <c r="F88" s="64">
        <f>Plan_Data[[#This Row],[Plan Budget]]/$D$2</f>
        <v>0</v>
      </c>
      <c r="G88" s="18">
        <f ca="1">IFERROR(IF(Plan_Data[[#This Row],[Category]]="Income", Plan_Data[[#This Row],[Plan Income]], OFFSET(Plan_Data[[#This Row],[Balance]],-1,0)+Plan_Data[[#This Row],[Plan Income]]-Plan_Data[[#This Row],[Plan Budget]]), Plan_Data[[#This Row],[Plan Income]])</f>
        <v>65.680000000000291</v>
      </c>
    </row>
    <row r="89" spans="1:7" x14ac:dyDescent="0.2">
      <c r="A89" s="5">
        <v>2021</v>
      </c>
      <c r="B89" s="5" t="s">
        <v>119</v>
      </c>
      <c r="C89" t="s">
        <v>47</v>
      </c>
      <c r="D89" s="1"/>
      <c r="E89" s="18">
        <v>0</v>
      </c>
      <c r="F89" s="64">
        <f>Plan_Data[[#This Row],[Plan Budget]]/$D$2</f>
        <v>0</v>
      </c>
      <c r="G89" s="18">
        <f ca="1">IFERROR(IF(Plan_Data[[#This Row],[Category]]="Income", Plan_Data[[#This Row],[Plan Income]], OFFSET(Plan_Data[[#This Row],[Balance]],-1,0)+Plan_Data[[#This Row],[Plan Income]]-Plan_Data[[#This Row],[Plan Budget]]), Plan_Data[[#This Row],[Plan Income]])</f>
        <v>65.680000000000291</v>
      </c>
    </row>
    <row r="90" spans="1:7" x14ac:dyDescent="0.2">
      <c r="A90" s="5">
        <v>2021</v>
      </c>
      <c r="B90" s="5" t="s">
        <v>119</v>
      </c>
      <c r="C90" t="s">
        <v>45</v>
      </c>
      <c r="D90" s="1"/>
      <c r="E90" s="18">
        <v>0</v>
      </c>
      <c r="F90" s="64">
        <f>Plan_Data[[#This Row],[Plan Budget]]/$D$2</f>
        <v>0</v>
      </c>
      <c r="G90" s="18">
        <f ca="1">IFERROR(IF(Plan_Data[[#This Row],[Category]]="Income", Plan_Data[[#This Row],[Plan Income]], OFFSET(Plan_Data[[#This Row],[Balance]],-1,0)+Plan_Data[[#This Row],[Plan Income]]-Plan_Data[[#This Row],[Plan Budget]]), Plan_Data[[#This Row],[Plan Income]])</f>
        <v>65.680000000000291</v>
      </c>
    </row>
    <row r="91" spans="1:7" x14ac:dyDescent="0.2">
      <c r="A91" s="5">
        <v>2021</v>
      </c>
      <c r="B91" s="5" t="s">
        <v>119</v>
      </c>
      <c r="C91" t="s">
        <v>11</v>
      </c>
      <c r="D91" s="1"/>
      <c r="E91" s="18">
        <v>0</v>
      </c>
      <c r="F91" s="64">
        <f>Plan_Data[[#This Row],[Plan Budget]]/$D$2</f>
        <v>0</v>
      </c>
      <c r="G91" s="18">
        <f ca="1">IFERROR(IF(Plan_Data[[#This Row],[Category]]="Income", Plan_Data[[#This Row],[Plan Income]], OFFSET(Plan_Data[[#This Row],[Balance]],-1,0)+Plan_Data[[#This Row],[Plan Income]]-Plan_Data[[#This Row],[Plan Budget]]), Plan_Data[[#This Row],[Plan Income]])</f>
        <v>65.680000000000291</v>
      </c>
    </row>
    <row r="92" spans="1:7" x14ac:dyDescent="0.2">
      <c r="A92" s="5">
        <v>2021</v>
      </c>
      <c r="B92" s="5" t="s">
        <v>120</v>
      </c>
      <c r="C92" t="s">
        <v>81</v>
      </c>
      <c r="D92" s="1">
        <f>3565.68</f>
        <v>3565.68</v>
      </c>
      <c r="E92" s="18"/>
      <c r="F92" s="64">
        <f>Plan_Data[[#This Row],[Plan Budget]]/$D$2</f>
        <v>0</v>
      </c>
      <c r="G92" s="18">
        <f ca="1">IFERROR(IF(Plan_Data[[#This Row],[Category]]="Income", Plan_Data[[#This Row],[Plan Income]], OFFSET(Plan_Data[[#This Row],[Balance]],-1,0)+Plan_Data[[#This Row],[Plan Income]]-Plan_Data[[#This Row],[Plan Budget]]), Plan_Data[[#This Row],[Plan Income]])</f>
        <v>3565.68</v>
      </c>
    </row>
    <row r="93" spans="1:7" x14ac:dyDescent="0.2">
      <c r="A93" s="5">
        <v>2021</v>
      </c>
      <c r="B93" s="5" t="s">
        <v>120</v>
      </c>
      <c r="C93" t="s">
        <v>42</v>
      </c>
      <c r="D93" s="1"/>
      <c r="E93" s="18">
        <v>500</v>
      </c>
      <c r="F93" s="64">
        <f>Plan_Data[[#This Row],[Plan Budget]]/$D$2</f>
        <v>0.14022570729846759</v>
      </c>
      <c r="G93" s="18">
        <f ca="1">IFERROR(IF(Plan_Data[[#This Row],[Category]]="Income", Plan_Data[[#This Row],[Plan Income]], OFFSET(Plan_Data[[#This Row],[Balance]],-1,0)+Plan_Data[[#This Row],[Plan Income]]-Plan_Data[[#This Row],[Plan Budget]]), Plan_Data[[#This Row],[Plan Income]])</f>
        <v>3065.68</v>
      </c>
    </row>
    <row r="94" spans="1:7" x14ac:dyDescent="0.2">
      <c r="A94" s="5">
        <v>2021</v>
      </c>
      <c r="B94" s="5" t="s">
        <v>120</v>
      </c>
      <c r="C94" t="s">
        <v>48</v>
      </c>
      <c r="D94" s="1"/>
      <c r="E94" s="18">
        <v>1500</v>
      </c>
      <c r="F94" s="64">
        <f>Plan_Data[[#This Row],[Plan Budget]]/$D$2</f>
        <v>0.42067712189540279</v>
      </c>
      <c r="G94" s="18">
        <f ca="1">IFERROR(IF(Plan_Data[[#This Row],[Category]]="Income", Plan_Data[[#This Row],[Plan Income]], OFFSET(Plan_Data[[#This Row],[Balance]],-1,0)+Plan_Data[[#This Row],[Plan Income]]-Plan_Data[[#This Row],[Plan Budget]]), Plan_Data[[#This Row],[Plan Income]])</f>
        <v>1565.6799999999998</v>
      </c>
    </row>
    <row r="95" spans="1:7" x14ac:dyDescent="0.2">
      <c r="A95" s="5">
        <v>2021</v>
      </c>
      <c r="B95" s="5" t="s">
        <v>120</v>
      </c>
      <c r="C95" t="s">
        <v>31</v>
      </c>
      <c r="D95" s="1"/>
      <c r="E95" s="18">
        <v>700</v>
      </c>
      <c r="F95" s="64">
        <f>Plan_Data[[#This Row],[Plan Budget]]/$D$2</f>
        <v>0.19631599021785465</v>
      </c>
      <c r="G95" s="18">
        <f ca="1">IFERROR(IF(Plan_Data[[#This Row],[Category]]="Income", Plan_Data[[#This Row],[Plan Income]], OFFSET(Plan_Data[[#This Row],[Balance]],-1,0)+Plan_Data[[#This Row],[Plan Income]]-Plan_Data[[#This Row],[Plan Budget]]), Plan_Data[[#This Row],[Plan Income]])</f>
        <v>865.67999999999984</v>
      </c>
    </row>
    <row r="96" spans="1:7" x14ac:dyDescent="0.2">
      <c r="A96" s="5">
        <v>2021</v>
      </c>
      <c r="B96" s="5" t="s">
        <v>120</v>
      </c>
      <c r="C96" t="s">
        <v>44</v>
      </c>
      <c r="D96" s="1"/>
      <c r="E96" s="18">
        <f>420+120</f>
        <v>540</v>
      </c>
      <c r="F96" s="64">
        <f>Plan_Data[[#This Row],[Plan Budget]]/$D$2</f>
        <v>0.15144376388234501</v>
      </c>
      <c r="G96" s="18">
        <f ca="1">IFERROR(IF(Plan_Data[[#This Row],[Category]]="Income", Plan_Data[[#This Row],[Plan Income]], OFFSET(Plan_Data[[#This Row],[Balance]],-1,0)+Plan_Data[[#This Row],[Plan Income]]-Plan_Data[[#This Row],[Plan Budget]]), Plan_Data[[#This Row],[Plan Income]])</f>
        <v>325.67999999999984</v>
      </c>
    </row>
    <row r="97" spans="1:7" x14ac:dyDescent="0.2">
      <c r="A97" s="5">
        <v>2021</v>
      </c>
      <c r="B97" s="5" t="s">
        <v>120</v>
      </c>
      <c r="C97" t="s">
        <v>51</v>
      </c>
      <c r="D97" s="1"/>
      <c r="E97" s="18">
        <v>0</v>
      </c>
      <c r="F97" s="64">
        <f>Plan_Data[[#This Row],[Plan Budget]]/$D$2</f>
        <v>0</v>
      </c>
      <c r="G97" s="18">
        <f ca="1">IFERROR(IF(Plan_Data[[#This Row],[Category]]="Income", Plan_Data[[#This Row],[Plan Income]], OFFSET(Plan_Data[[#This Row],[Balance]],-1,0)+Plan_Data[[#This Row],[Plan Income]]-Plan_Data[[#This Row],[Plan Budget]]), Plan_Data[[#This Row],[Plan Income]])</f>
        <v>325.67999999999984</v>
      </c>
    </row>
    <row r="98" spans="1:7" x14ac:dyDescent="0.2">
      <c r="A98" s="5">
        <v>2021</v>
      </c>
      <c r="B98" s="5" t="s">
        <v>120</v>
      </c>
      <c r="C98" t="s">
        <v>53</v>
      </c>
      <c r="D98" s="1"/>
      <c r="E98" s="18">
        <v>200</v>
      </c>
      <c r="F98" s="64">
        <f>Plan_Data[[#This Row],[Plan Budget]]/$D$2</f>
        <v>5.6090282919387044E-2</v>
      </c>
      <c r="G98" s="18">
        <f ca="1">IFERROR(IF(Plan_Data[[#This Row],[Category]]="Income", Plan_Data[[#This Row],[Plan Income]], OFFSET(Plan_Data[[#This Row],[Balance]],-1,0)+Plan_Data[[#This Row],[Plan Income]]-Plan_Data[[#This Row],[Plan Budget]]), Plan_Data[[#This Row],[Plan Income]])</f>
        <v>125.67999999999984</v>
      </c>
    </row>
    <row r="99" spans="1:7" x14ac:dyDescent="0.2">
      <c r="A99" s="5">
        <v>2021</v>
      </c>
      <c r="B99" s="5" t="s">
        <v>120</v>
      </c>
      <c r="C99" t="s">
        <v>43</v>
      </c>
      <c r="D99" s="1"/>
      <c r="E99" s="18">
        <v>0</v>
      </c>
      <c r="F99" s="64">
        <f>Plan_Data[[#This Row],[Plan Budget]]/$D$2</f>
        <v>0</v>
      </c>
      <c r="G99" s="18">
        <f ca="1">IFERROR(IF(Plan_Data[[#This Row],[Category]]="Income", Plan_Data[[#This Row],[Plan Income]], OFFSET(Plan_Data[[#This Row],[Balance]],-1,0)+Plan_Data[[#This Row],[Plan Income]]-Plan_Data[[#This Row],[Plan Budget]]), Plan_Data[[#This Row],[Plan Income]])</f>
        <v>125.67999999999984</v>
      </c>
    </row>
    <row r="100" spans="1:7" x14ac:dyDescent="0.2">
      <c r="A100" s="5">
        <v>2021</v>
      </c>
      <c r="B100" s="5" t="s">
        <v>120</v>
      </c>
      <c r="C100" t="s">
        <v>18</v>
      </c>
      <c r="D100" s="1"/>
      <c r="E100" s="18">
        <v>0</v>
      </c>
      <c r="F100" s="64">
        <f>Plan_Data[[#This Row],[Plan Budget]]/$D$2</f>
        <v>0</v>
      </c>
      <c r="G100" s="18">
        <f ca="1">IFERROR(IF(Plan_Data[[#This Row],[Category]]="Income", Plan_Data[[#This Row],[Plan Income]], OFFSET(Plan_Data[[#This Row],[Balance]],-1,0)+Plan_Data[[#This Row],[Plan Income]]-Plan_Data[[#This Row],[Plan Budget]]), Plan_Data[[#This Row],[Plan Income]])</f>
        <v>125.67999999999984</v>
      </c>
    </row>
    <row r="101" spans="1:7" x14ac:dyDescent="0.2">
      <c r="A101" s="5">
        <v>2021</v>
      </c>
      <c r="B101" s="5" t="s">
        <v>120</v>
      </c>
      <c r="C101" t="s">
        <v>49</v>
      </c>
      <c r="D101" s="1"/>
      <c r="E101" s="18">
        <v>0</v>
      </c>
      <c r="F101" s="64">
        <f>Plan_Data[[#This Row],[Plan Budget]]/$D$2</f>
        <v>0</v>
      </c>
      <c r="G101" s="18">
        <f ca="1">IFERROR(IF(Plan_Data[[#This Row],[Category]]="Income", Plan_Data[[#This Row],[Plan Income]], OFFSET(Plan_Data[[#This Row],[Balance]],-1,0)+Plan_Data[[#This Row],[Plan Income]]-Plan_Data[[#This Row],[Plan Budget]]), Plan_Data[[#This Row],[Plan Income]])</f>
        <v>125.67999999999984</v>
      </c>
    </row>
    <row r="102" spans="1:7" x14ac:dyDescent="0.2">
      <c r="A102" s="5">
        <v>2021</v>
      </c>
      <c r="B102" s="5" t="s">
        <v>120</v>
      </c>
      <c r="C102" t="s">
        <v>50</v>
      </c>
      <c r="D102" s="1"/>
      <c r="E102" s="18">
        <v>0</v>
      </c>
      <c r="F102" s="64">
        <f>Plan_Data[[#This Row],[Plan Budget]]/$D$2</f>
        <v>0</v>
      </c>
      <c r="G102" s="18">
        <f ca="1">IFERROR(IF(Plan_Data[[#This Row],[Category]]="Income", Plan_Data[[#This Row],[Plan Income]], OFFSET(Plan_Data[[#This Row],[Balance]],-1,0)+Plan_Data[[#This Row],[Plan Income]]-Plan_Data[[#This Row],[Plan Budget]]), Plan_Data[[#This Row],[Plan Income]])</f>
        <v>125.67999999999984</v>
      </c>
    </row>
    <row r="103" spans="1:7" x14ac:dyDescent="0.2">
      <c r="A103" s="5">
        <v>2021</v>
      </c>
      <c r="B103" s="5" t="s">
        <v>120</v>
      </c>
      <c r="C103" t="s">
        <v>46</v>
      </c>
      <c r="D103" s="1"/>
      <c r="E103" s="18">
        <v>0</v>
      </c>
      <c r="F103" s="64">
        <f>Plan_Data[[#This Row],[Plan Budget]]/$D$2</f>
        <v>0</v>
      </c>
      <c r="G103" s="18">
        <f ca="1">IFERROR(IF(Plan_Data[[#This Row],[Category]]="Income", Plan_Data[[#This Row],[Plan Income]], OFFSET(Plan_Data[[#This Row],[Balance]],-1,0)+Plan_Data[[#This Row],[Plan Income]]-Plan_Data[[#This Row],[Plan Budget]]), Plan_Data[[#This Row],[Plan Income]])</f>
        <v>125.67999999999984</v>
      </c>
    </row>
    <row r="104" spans="1:7" x14ac:dyDescent="0.2">
      <c r="A104" s="5">
        <v>2021</v>
      </c>
      <c r="B104" s="5" t="s">
        <v>120</v>
      </c>
      <c r="C104" t="s">
        <v>47</v>
      </c>
      <c r="D104" s="1"/>
      <c r="E104" s="18">
        <v>120</v>
      </c>
      <c r="F104" s="64">
        <f>Plan_Data[[#This Row],[Plan Budget]]/$D$2</f>
        <v>3.3654169751632226E-2</v>
      </c>
      <c r="G104" s="18">
        <f ca="1">IFERROR(IF(Plan_Data[[#This Row],[Category]]="Income", Plan_Data[[#This Row],[Plan Income]], OFFSET(Plan_Data[[#This Row],[Balance]],-1,0)+Plan_Data[[#This Row],[Plan Income]]-Plan_Data[[#This Row],[Plan Budget]]), Plan_Data[[#This Row],[Plan Income]])</f>
        <v>5.6799999999998363</v>
      </c>
    </row>
    <row r="105" spans="1:7" x14ac:dyDescent="0.2">
      <c r="A105" s="5">
        <v>2021</v>
      </c>
      <c r="B105" s="5" t="s">
        <v>120</v>
      </c>
      <c r="C105" t="s">
        <v>45</v>
      </c>
      <c r="D105" s="1"/>
      <c r="E105" s="18">
        <v>0</v>
      </c>
      <c r="F105" s="64">
        <f>Plan_Data[[#This Row],[Plan Budget]]/$D$2</f>
        <v>0</v>
      </c>
      <c r="G105" s="18">
        <f ca="1">IFERROR(IF(Plan_Data[[#This Row],[Category]]="Income", Plan_Data[[#This Row],[Plan Income]], OFFSET(Plan_Data[[#This Row],[Balance]],-1,0)+Plan_Data[[#This Row],[Plan Income]]-Plan_Data[[#This Row],[Plan Budget]]), Plan_Data[[#This Row],[Plan Income]])</f>
        <v>5.6799999999998363</v>
      </c>
    </row>
    <row r="106" spans="1:7" x14ac:dyDescent="0.2">
      <c r="A106" s="5">
        <v>2021</v>
      </c>
      <c r="B106" s="5" t="s">
        <v>120</v>
      </c>
      <c r="C106" t="s">
        <v>11</v>
      </c>
      <c r="D106" s="1"/>
      <c r="E106" s="18">
        <v>0</v>
      </c>
      <c r="F106" s="64">
        <f>Plan_Data[[#This Row],[Plan Budget]]/$D$2</f>
        <v>0</v>
      </c>
      <c r="G106" s="18">
        <f ca="1">IFERROR(IF(Plan_Data[[#This Row],[Category]]="Income", Plan_Data[[#This Row],[Plan Income]], OFFSET(Plan_Data[[#This Row],[Balance]],-1,0)+Plan_Data[[#This Row],[Plan Income]]-Plan_Data[[#This Row],[Plan Budget]]), Plan_Data[[#This Row],[Plan Income]])</f>
        <v>5.6799999999998363</v>
      </c>
    </row>
    <row r="107" spans="1:7" x14ac:dyDescent="0.2">
      <c r="A107" s="5">
        <v>2021</v>
      </c>
      <c r="B107" s="5" t="s">
        <v>121</v>
      </c>
      <c r="C107" t="s">
        <v>81</v>
      </c>
      <c r="D107" s="1">
        <v>3752</v>
      </c>
      <c r="E107" s="18"/>
      <c r="F107" s="64">
        <f>Plan_Data[[#This Row],[Plan Budget]]/$D$107</f>
        <v>0</v>
      </c>
      <c r="G107" s="18">
        <f ca="1">IFERROR(IF(Plan_Data[[#This Row],[Category]]="Income", Plan_Data[[#This Row],[Plan Income]], OFFSET(Plan_Data[[#This Row],[Balance]],-1,0)+Plan_Data[[#This Row],[Plan Income]]-Plan_Data[[#This Row],[Plan Budget]]), Plan_Data[[#This Row],[Plan Income]])</f>
        <v>3752</v>
      </c>
    </row>
    <row r="108" spans="1:7" x14ac:dyDescent="0.2">
      <c r="A108" s="5">
        <v>2021</v>
      </c>
      <c r="B108" s="5" t="s">
        <v>121</v>
      </c>
      <c r="C108" t="s">
        <v>42</v>
      </c>
      <c r="D108" s="1"/>
      <c r="E108" s="18">
        <v>500</v>
      </c>
      <c r="F108" s="64">
        <f>Plan_Data[[#This Row],[Plan Budget]]/$D$107</f>
        <v>0.13326226012793177</v>
      </c>
      <c r="G108" s="18">
        <f ca="1">IFERROR(IF(Plan_Data[[#This Row],[Category]]="Income", Plan_Data[[#This Row],[Plan Income]], OFFSET(Plan_Data[[#This Row],[Balance]],-1,0)+Plan_Data[[#This Row],[Plan Income]]-Plan_Data[[#This Row],[Plan Budget]]), Plan_Data[[#This Row],[Plan Income]])</f>
        <v>3252</v>
      </c>
    </row>
    <row r="109" spans="1:7" x14ac:dyDescent="0.2">
      <c r="A109" s="5">
        <v>2021</v>
      </c>
      <c r="B109" s="5" t="s">
        <v>121</v>
      </c>
      <c r="C109" t="s">
        <v>48</v>
      </c>
      <c r="D109" s="1"/>
      <c r="E109" s="18">
        <v>1900</v>
      </c>
      <c r="F109" s="64">
        <f>Plan_Data[[#This Row],[Plan Budget]]/$D$107</f>
        <v>0.50639658848614078</v>
      </c>
      <c r="G109" s="18">
        <f ca="1">IFERROR(IF(Plan_Data[[#This Row],[Category]]="Income", Plan_Data[[#This Row],[Plan Income]], OFFSET(Plan_Data[[#This Row],[Balance]],-1,0)+Plan_Data[[#This Row],[Plan Income]]-Plan_Data[[#This Row],[Plan Budget]]), Plan_Data[[#This Row],[Plan Income]])</f>
        <v>1352</v>
      </c>
    </row>
    <row r="110" spans="1:7" x14ac:dyDescent="0.2">
      <c r="A110" s="5">
        <v>2021</v>
      </c>
      <c r="B110" s="5" t="s">
        <v>121</v>
      </c>
      <c r="C110" t="s">
        <v>31</v>
      </c>
      <c r="D110" s="1"/>
      <c r="E110" s="18">
        <v>600</v>
      </c>
      <c r="F110" s="64">
        <f>Plan_Data[[#This Row],[Plan Budget]]/$D$107</f>
        <v>0.15991471215351813</v>
      </c>
      <c r="G110" s="18">
        <f ca="1">IFERROR(IF(Plan_Data[[#This Row],[Category]]="Income", Plan_Data[[#This Row],[Plan Income]], OFFSET(Plan_Data[[#This Row],[Balance]],-1,0)+Plan_Data[[#This Row],[Plan Income]]-Plan_Data[[#This Row],[Plan Budget]]), Plan_Data[[#This Row],[Plan Income]])</f>
        <v>752</v>
      </c>
    </row>
    <row r="111" spans="1:7" x14ac:dyDescent="0.2">
      <c r="A111" s="5">
        <v>2021</v>
      </c>
      <c r="B111" s="5" t="s">
        <v>121</v>
      </c>
      <c r="C111" t="s">
        <v>44</v>
      </c>
      <c r="D111" s="1"/>
      <c r="E111" s="18">
        <v>540</v>
      </c>
      <c r="F111" s="64">
        <f>Plan_Data[[#This Row],[Plan Budget]]/$D$107</f>
        <v>0.1439232409381663</v>
      </c>
      <c r="G111" s="18">
        <f ca="1">IFERROR(IF(Plan_Data[[#This Row],[Category]]="Income", Plan_Data[[#This Row],[Plan Income]], OFFSET(Plan_Data[[#This Row],[Balance]],-1,0)+Plan_Data[[#This Row],[Plan Income]]-Plan_Data[[#This Row],[Plan Budget]]), Plan_Data[[#This Row],[Plan Income]])</f>
        <v>212</v>
      </c>
    </row>
    <row r="112" spans="1:7" x14ac:dyDescent="0.2">
      <c r="A112" s="5">
        <v>2021</v>
      </c>
      <c r="B112" s="5" t="s">
        <v>121</v>
      </c>
      <c r="C112" t="s">
        <v>51</v>
      </c>
      <c r="D112" s="1"/>
      <c r="E112" s="18">
        <v>0</v>
      </c>
      <c r="F112" s="64">
        <f>Plan_Data[[#This Row],[Plan Budget]]/$D$107</f>
        <v>0</v>
      </c>
      <c r="G112" s="18">
        <f ca="1">IFERROR(IF(Plan_Data[[#This Row],[Category]]="Income", Plan_Data[[#This Row],[Plan Income]], OFFSET(Plan_Data[[#This Row],[Balance]],-1,0)+Plan_Data[[#This Row],[Plan Income]]-Plan_Data[[#This Row],[Plan Budget]]), Plan_Data[[#This Row],[Plan Income]])</f>
        <v>212</v>
      </c>
    </row>
    <row r="113" spans="1:7" x14ac:dyDescent="0.2">
      <c r="A113" s="5">
        <v>2021</v>
      </c>
      <c r="B113" s="5" t="s">
        <v>121</v>
      </c>
      <c r="C113" t="s">
        <v>53</v>
      </c>
      <c r="D113" s="1"/>
      <c r="E113" s="18">
        <v>200</v>
      </c>
      <c r="F113" s="64">
        <f>Plan_Data[[#This Row],[Plan Budget]]/$D$107</f>
        <v>5.3304904051172705E-2</v>
      </c>
      <c r="G113" s="18">
        <f ca="1">IFERROR(IF(Plan_Data[[#This Row],[Category]]="Income", Plan_Data[[#This Row],[Plan Income]], OFFSET(Plan_Data[[#This Row],[Balance]],-1,0)+Plan_Data[[#This Row],[Plan Income]]-Plan_Data[[#This Row],[Plan Budget]]), Plan_Data[[#This Row],[Plan Income]])</f>
        <v>12</v>
      </c>
    </row>
    <row r="114" spans="1:7" x14ac:dyDescent="0.2">
      <c r="A114" s="5">
        <v>2021</v>
      </c>
      <c r="B114" s="5" t="s">
        <v>121</v>
      </c>
      <c r="C114" t="s">
        <v>43</v>
      </c>
      <c r="D114" s="1"/>
      <c r="E114" s="18">
        <v>0</v>
      </c>
      <c r="F114" s="64">
        <f>Plan_Data[[#This Row],[Plan Budget]]/$D$107</f>
        <v>0</v>
      </c>
      <c r="G114" s="18">
        <f ca="1">IFERROR(IF(Plan_Data[[#This Row],[Category]]="Income", Plan_Data[[#This Row],[Plan Income]], OFFSET(Plan_Data[[#This Row],[Balance]],-1,0)+Plan_Data[[#This Row],[Plan Income]]-Plan_Data[[#This Row],[Plan Budget]]), Plan_Data[[#This Row],[Plan Income]])</f>
        <v>12</v>
      </c>
    </row>
    <row r="115" spans="1:7" x14ac:dyDescent="0.2">
      <c r="A115" s="5">
        <v>2021</v>
      </c>
      <c r="B115" s="5" t="s">
        <v>121</v>
      </c>
      <c r="C115" t="s">
        <v>18</v>
      </c>
      <c r="D115" s="1"/>
      <c r="E115" s="18">
        <v>0</v>
      </c>
      <c r="F115" s="64">
        <f>Plan_Data[[#This Row],[Plan Budget]]/$D$107</f>
        <v>0</v>
      </c>
      <c r="G115" s="18">
        <f ca="1">IFERROR(IF(Plan_Data[[#This Row],[Category]]="Income", Plan_Data[[#This Row],[Plan Income]], OFFSET(Plan_Data[[#This Row],[Balance]],-1,0)+Plan_Data[[#This Row],[Plan Income]]-Plan_Data[[#This Row],[Plan Budget]]), Plan_Data[[#This Row],[Plan Income]])</f>
        <v>12</v>
      </c>
    </row>
    <row r="116" spans="1:7" x14ac:dyDescent="0.2">
      <c r="A116" s="5">
        <v>2021</v>
      </c>
      <c r="B116" s="5" t="s">
        <v>121</v>
      </c>
      <c r="C116" t="s">
        <v>49</v>
      </c>
      <c r="D116" s="1"/>
      <c r="E116" s="18">
        <v>0</v>
      </c>
      <c r="F116" s="64">
        <f>Plan_Data[[#This Row],[Plan Budget]]/$D$107</f>
        <v>0</v>
      </c>
      <c r="G116" s="18">
        <f ca="1">IFERROR(IF(Plan_Data[[#This Row],[Category]]="Income", Plan_Data[[#This Row],[Plan Income]], OFFSET(Plan_Data[[#This Row],[Balance]],-1,0)+Plan_Data[[#This Row],[Plan Income]]-Plan_Data[[#This Row],[Plan Budget]]), Plan_Data[[#This Row],[Plan Income]])</f>
        <v>12</v>
      </c>
    </row>
    <row r="117" spans="1:7" x14ac:dyDescent="0.2">
      <c r="A117" s="5">
        <v>2021</v>
      </c>
      <c r="B117" s="5" t="s">
        <v>121</v>
      </c>
      <c r="C117" t="s">
        <v>50</v>
      </c>
      <c r="D117" s="1"/>
      <c r="E117" s="18">
        <v>0</v>
      </c>
      <c r="F117" s="64">
        <f>Plan_Data[[#This Row],[Plan Budget]]/$D$107</f>
        <v>0</v>
      </c>
      <c r="G117" s="18">
        <f ca="1">IFERROR(IF(Plan_Data[[#This Row],[Category]]="Income", Plan_Data[[#This Row],[Plan Income]], OFFSET(Plan_Data[[#This Row],[Balance]],-1,0)+Plan_Data[[#This Row],[Plan Income]]-Plan_Data[[#This Row],[Plan Budget]]), Plan_Data[[#This Row],[Plan Income]])</f>
        <v>12</v>
      </c>
    </row>
    <row r="118" spans="1:7" x14ac:dyDescent="0.2">
      <c r="A118" s="5">
        <v>2021</v>
      </c>
      <c r="B118" s="5" t="s">
        <v>121</v>
      </c>
      <c r="C118" t="s">
        <v>46</v>
      </c>
      <c r="D118" s="1"/>
      <c r="E118" s="18">
        <v>0</v>
      </c>
      <c r="F118" s="64">
        <f>Plan_Data[[#This Row],[Plan Budget]]/$D$107</f>
        <v>0</v>
      </c>
      <c r="G118" s="18">
        <f ca="1">IFERROR(IF(Plan_Data[[#This Row],[Category]]="Income", Plan_Data[[#This Row],[Plan Income]], OFFSET(Plan_Data[[#This Row],[Balance]],-1,0)+Plan_Data[[#This Row],[Plan Income]]-Plan_Data[[#This Row],[Plan Budget]]), Plan_Data[[#This Row],[Plan Income]])</f>
        <v>12</v>
      </c>
    </row>
    <row r="119" spans="1:7" x14ac:dyDescent="0.2">
      <c r="A119" s="5">
        <v>2021</v>
      </c>
      <c r="B119" s="5" t="s">
        <v>121</v>
      </c>
      <c r="C119" t="s">
        <v>47</v>
      </c>
      <c r="D119" s="1"/>
      <c r="E119" s="18">
        <v>0</v>
      </c>
      <c r="F119" s="64">
        <f>Plan_Data[[#This Row],[Plan Budget]]/$D$107</f>
        <v>0</v>
      </c>
      <c r="G119" s="18">
        <f ca="1">IFERROR(IF(Plan_Data[[#This Row],[Category]]="Income", Plan_Data[[#This Row],[Plan Income]], OFFSET(Plan_Data[[#This Row],[Balance]],-1,0)+Plan_Data[[#This Row],[Plan Income]]-Plan_Data[[#This Row],[Plan Budget]]), Plan_Data[[#This Row],[Plan Income]])</f>
        <v>12</v>
      </c>
    </row>
    <row r="120" spans="1:7" x14ac:dyDescent="0.2">
      <c r="A120" s="5">
        <v>2021</v>
      </c>
      <c r="B120" s="5" t="s">
        <v>121</v>
      </c>
      <c r="C120" t="s">
        <v>45</v>
      </c>
      <c r="D120" s="1"/>
      <c r="E120" s="18">
        <v>0</v>
      </c>
      <c r="F120" s="64">
        <f>Plan_Data[[#This Row],[Plan Budget]]/$D$107</f>
        <v>0</v>
      </c>
      <c r="G120" s="18">
        <f ca="1">IFERROR(IF(Plan_Data[[#This Row],[Category]]="Income", Plan_Data[[#This Row],[Plan Income]], OFFSET(Plan_Data[[#This Row],[Balance]],-1,0)+Plan_Data[[#This Row],[Plan Income]]-Plan_Data[[#This Row],[Plan Budget]]), Plan_Data[[#This Row],[Plan Income]])</f>
        <v>12</v>
      </c>
    </row>
    <row r="121" spans="1:7" x14ac:dyDescent="0.2">
      <c r="A121" s="5">
        <v>2021</v>
      </c>
      <c r="B121" s="5" t="s">
        <v>121</v>
      </c>
      <c r="C121" t="s">
        <v>11</v>
      </c>
      <c r="D121" s="1"/>
      <c r="E121" s="18">
        <v>0</v>
      </c>
      <c r="F121" s="64">
        <f>Plan_Data[[#This Row],[Plan Budget]]/$D$107</f>
        <v>0</v>
      </c>
      <c r="G121" s="18">
        <f ca="1">IFERROR(IF(Plan_Data[[#This Row],[Category]]="Income", Plan_Data[[#This Row],[Plan Income]], OFFSET(Plan_Data[[#This Row],[Balance]],-1,0)+Plan_Data[[#This Row],[Plan Income]]-Plan_Data[[#This Row],[Plan Budget]]), Plan_Data[[#This Row],[Plan Income]])</f>
        <v>12</v>
      </c>
    </row>
    <row r="122" spans="1:7" x14ac:dyDescent="0.2">
      <c r="A122" s="5">
        <v>2021</v>
      </c>
      <c r="B122" s="5" t="s">
        <v>122</v>
      </c>
      <c r="C122" t="s">
        <v>81</v>
      </c>
      <c r="D122" s="1">
        <v>3752</v>
      </c>
      <c r="E122" s="18"/>
      <c r="F122" s="64">
        <f>Plan_Data[[#This Row],[Plan Budget]]/$D$107</f>
        <v>0</v>
      </c>
      <c r="G122" s="18">
        <f ca="1">IFERROR(IF(Plan_Data[[#This Row],[Category]]="Income", Plan_Data[[#This Row],[Plan Income]], OFFSET(Plan_Data[[#This Row],[Balance]],-1,0)+Plan_Data[[#This Row],[Plan Income]]-Plan_Data[[#This Row],[Plan Budget]]), Plan_Data[[#This Row],[Plan Income]])</f>
        <v>3752</v>
      </c>
    </row>
    <row r="123" spans="1:7" x14ac:dyDescent="0.2">
      <c r="A123" s="5">
        <v>2021</v>
      </c>
      <c r="B123" s="5" t="s">
        <v>122</v>
      </c>
      <c r="C123" t="s">
        <v>42</v>
      </c>
      <c r="D123" s="1"/>
      <c r="E123" s="18">
        <v>500</v>
      </c>
      <c r="F123" s="64">
        <f>Plan_Data[[#This Row],[Plan Budget]]/$D$107</f>
        <v>0.13326226012793177</v>
      </c>
      <c r="G123" s="18">
        <f ca="1">IFERROR(IF(Plan_Data[[#This Row],[Category]]="Income", Plan_Data[[#This Row],[Plan Income]], OFFSET(Plan_Data[[#This Row],[Balance]],-1,0)+Plan_Data[[#This Row],[Plan Income]]-Plan_Data[[#This Row],[Plan Budget]]), Plan_Data[[#This Row],[Plan Income]])</f>
        <v>3252</v>
      </c>
    </row>
    <row r="124" spans="1:7" x14ac:dyDescent="0.2">
      <c r="A124" s="5">
        <v>2021</v>
      </c>
      <c r="B124" s="5" t="s">
        <v>122</v>
      </c>
      <c r="C124" t="s">
        <v>48</v>
      </c>
      <c r="D124" s="1"/>
      <c r="E124" s="18">
        <v>1900</v>
      </c>
      <c r="F124" s="64">
        <f>Plan_Data[[#This Row],[Plan Budget]]/$D$107</f>
        <v>0.50639658848614078</v>
      </c>
      <c r="G124" s="18">
        <f ca="1">IFERROR(IF(Plan_Data[[#This Row],[Category]]="Income", Plan_Data[[#This Row],[Plan Income]], OFFSET(Plan_Data[[#This Row],[Balance]],-1,0)+Plan_Data[[#This Row],[Plan Income]]-Plan_Data[[#This Row],[Plan Budget]]), Plan_Data[[#This Row],[Plan Income]])</f>
        <v>1352</v>
      </c>
    </row>
    <row r="125" spans="1:7" x14ac:dyDescent="0.2">
      <c r="A125" s="5">
        <v>2021</v>
      </c>
      <c r="B125" s="5" t="s">
        <v>122</v>
      </c>
      <c r="C125" t="s">
        <v>31</v>
      </c>
      <c r="D125" s="1"/>
      <c r="E125" s="18">
        <v>700</v>
      </c>
      <c r="F125" s="64">
        <f>Plan_Data[[#This Row],[Plan Budget]]/$D$107</f>
        <v>0.18656716417910449</v>
      </c>
      <c r="G125" s="18">
        <f ca="1">IFERROR(IF(Plan_Data[[#This Row],[Category]]="Income", Plan_Data[[#This Row],[Plan Income]], OFFSET(Plan_Data[[#This Row],[Balance]],-1,0)+Plan_Data[[#This Row],[Plan Income]]-Plan_Data[[#This Row],[Plan Budget]]), Plan_Data[[#This Row],[Plan Income]])</f>
        <v>652</v>
      </c>
    </row>
    <row r="126" spans="1:7" x14ac:dyDescent="0.2">
      <c r="A126" s="5">
        <v>2021</v>
      </c>
      <c r="B126" s="5" t="s">
        <v>122</v>
      </c>
      <c r="C126" t="s">
        <v>44</v>
      </c>
      <c r="D126" s="1"/>
      <c r="E126" s="18">
        <v>540</v>
      </c>
      <c r="F126" s="64">
        <f>Plan_Data[[#This Row],[Plan Budget]]/$D$107</f>
        <v>0.1439232409381663</v>
      </c>
      <c r="G126" s="18">
        <f ca="1">IFERROR(IF(Plan_Data[[#This Row],[Category]]="Income", Plan_Data[[#This Row],[Plan Income]], OFFSET(Plan_Data[[#This Row],[Balance]],-1,0)+Plan_Data[[#This Row],[Plan Income]]-Plan_Data[[#This Row],[Plan Budget]]), Plan_Data[[#This Row],[Plan Income]])</f>
        <v>112</v>
      </c>
    </row>
    <row r="127" spans="1:7" x14ac:dyDescent="0.2">
      <c r="A127" s="5">
        <v>2021</v>
      </c>
      <c r="B127" s="5" t="s">
        <v>122</v>
      </c>
      <c r="C127" t="s">
        <v>51</v>
      </c>
      <c r="D127" s="1"/>
      <c r="E127" s="18">
        <v>0</v>
      </c>
      <c r="F127" s="64">
        <f>Plan_Data[[#This Row],[Plan Budget]]/$D$107</f>
        <v>0</v>
      </c>
      <c r="G127" s="18">
        <f ca="1">IFERROR(IF(Plan_Data[[#This Row],[Category]]="Income", Plan_Data[[#This Row],[Plan Income]], OFFSET(Plan_Data[[#This Row],[Balance]],-1,0)+Plan_Data[[#This Row],[Plan Income]]-Plan_Data[[#This Row],[Plan Budget]]), Plan_Data[[#This Row],[Plan Income]])</f>
        <v>112</v>
      </c>
    </row>
    <row r="128" spans="1:7" x14ac:dyDescent="0.2">
      <c r="A128" s="5">
        <v>2021</v>
      </c>
      <c r="B128" s="5" t="s">
        <v>122</v>
      </c>
      <c r="C128" t="s">
        <v>53</v>
      </c>
      <c r="D128" s="1"/>
      <c r="E128" s="18">
        <v>100</v>
      </c>
      <c r="F128" s="64">
        <f>Plan_Data[[#This Row],[Plan Budget]]/$D$107</f>
        <v>2.6652452025586353E-2</v>
      </c>
      <c r="G128" s="18">
        <f ca="1">IFERROR(IF(Plan_Data[[#This Row],[Category]]="Income", Plan_Data[[#This Row],[Plan Income]], OFFSET(Plan_Data[[#This Row],[Balance]],-1,0)+Plan_Data[[#This Row],[Plan Income]]-Plan_Data[[#This Row],[Plan Budget]]), Plan_Data[[#This Row],[Plan Income]])</f>
        <v>12</v>
      </c>
    </row>
    <row r="129" spans="1:7" x14ac:dyDescent="0.2">
      <c r="A129" s="5">
        <v>2021</v>
      </c>
      <c r="B129" s="5" t="s">
        <v>122</v>
      </c>
      <c r="C129" t="s">
        <v>43</v>
      </c>
      <c r="D129" s="1"/>
      <c r="E129" s="18">
        <v>0</v>
      </c>
      <c r="F129" s="64">
        <f>Plan_Data[[#This Row],[Plan Budget]]/$D$107</f>
        <v>0</v>
      </c>
      <c r="G129" s="18">
        <f ca="1">IFERROR(IF(Plan_Data[[#This Row],[Category]]="Income", Plan_Data[[#This Row],[Plan Income]], OFFSET(Plan_Data[[#This Row],[Balance]],-1,0)+Plan_Data[[#This Row],[Plan Income]]-Plan_Data[[#This Row],[Plan Budget]]), Plan_Data[[#This Row],[Plan Income]])</f>
        <v>12</v>
      </c>
    </row>
    <row r="130" spans="1:7" x14ac:dyDescent="0.2">
      <c r="A130" s="5">
        <v>2021</v>
      </c>
      <c r="B130" s="5" t="s">
        <v>122</v>
      </c>
      <c r="C130" t="s">
        <v>18</v>
      </c>
      <c r="D130" s="1"/>
      <c r="E130" s="18">
        <v>0</v>
      </c>
      <c r="F130" s="64">
        <f>Plan_Data[[#This Row],[Plan Budget]]/$D$107</f>
        <v>0</v>
      </c>
      <c r="G130" s="18">
        <f ca="1">IFERROR(IF(Plan_Data[[#This Row],[Category]]="Income", Plan_Data[[#This Row],[Plan Income]], OFFSET(Plan_Data[[#This Row],[Balance]],-1,0)+Plan_Data[[#This Row],[Plan Income]]-Plan_Data[[#This Row],[Plan Budget]]), Plan_Data[[#This Row],[Plan Income]])</f>
        <v>12</v>
      </c>
    </row>
    <row r="131" spans="1:7" x14ac:dyDescent="0.2">
      <c r="A131" s="5">
        <v>2021</v>
      </c>
      <c r="B131" s="5" t="s">
        <v>122</v>
      </c>
      <c r="C131" t="s">
        <v>49</v>
      </c>
      <c r="D131" s="1"/>
      <c r="E131" s="18">
        <v>0</v>
      </c>
      <c r="F131" s="64">
        <f>Plan_Data[[#This Row],[Plan Budget]]/$D$107</f>
        <v>0</v>
      </c>
      <c r="G131" s="18">
        <f ca="1">IFERROR(IF(Plan_Data[[#This Row],[Category]]="Income", Plan_Data[[#This Row],[Plan Income]], OFFSET(Plan_Data[[#This Row],[Balance]],-1,0)+Plan_Data[[#This Row],[Plan Income]]-Plan_Data[[#This Row],[Plan Budget]]), Plan_Data[[#This Row],[Plan Income]])</f>
        <v>12</v>
      </c>
    </row>
    <row r="132" spans="1:7" x14ac:dyDescent="0.2">
      <c r="A132" s="5">
        <v>2021</v>
      </c>
      <c r="B132" s="5" t="s">
        <v>122</v>
      </c>
      <c r="C132" t="s">
        <v>50</v>
      </c>
      <c r="D132" s="1"/>
      <c r="E132" s="18">
        <v>0</v>
      </c>
      <c r="F132" s="64">
        <f>Plan_Data[[#This Row],[Plan Budget]]/$D$107</f>
        <v>0</v>
      </c>
      <c r="G132" s="18">
        <f ca="1">IFERROR(IF(Plan_Data[[#This Row],[Category]]="Income", Plan_Data[[#This Row],[Plan Income]], OFFSET(Plan_Data[[#This Row],[Balance]],-1,0)+Plan_Data[[#This Row],[Plan Income]]-Plan_Data[[#This Row],[Plan Budget]]), Plan_Data[[#This Row],[Plan Income]])</f>
        <v>12</v>
      </c>
    </row>
    <row r="133" spans="1:7" x14ac:dyDescent="0.2">
      <c r="A133" s="5">
        <v>2021</v>
      </c>
      <c r="B133" s="5" t="s">
        <v>122</v>
      </c>
      <c r="C133" t="s">
        <v>46</v>
      </c>
      <c r="D133" s="1"/>
      <c r="E133" s="18">
        <v>0</v>
      </c>
      <c r="F133" s="64">
        <f>Plan_Data[[#This Row],[Plan Budget]]/$D$107</f>
        <v>0</v>
      </c>
      <c r="G133" s="18">
        <f ca="1">IFERROR(IF(Plan_Data[[#This Row],[Category]]="Income", Plan_Data[[#This Row],[Plan Income]], OFFSET(Plan_Data[[#This Row],[Balance]],-1,0)+Plan_Data[[#This Row],[Plan Income]]-Plan_Data[[#This Row],[Plan Budget]]), Plan_Data[[#This Row],[Plan Income]])</f>
        <v>12</v>
      </c>
    </row>
    <row r="134" spans="1:7" x14ac:dyDescent="0.2">
      <c r="A134" s="5">
        <v>2021</v>
      </c>
      <c r="B134" s="5" t="s">
        <v>122</v>
      </c>
      <c r="C134" t="s">
        <v>47</v>
      </c>
      <c r="D134" s="1"/>
      <c r="E134" s="18">
        <v>0</v>
      </c>
      <c r="F134" s="64">
        <f>Plan_Data[[#This Row],[Plan Budget]]/$D$107</f>
        <v>0</v>
      </c>
      <c r="G134" s="18">
        <f ca="1">IFERROR(IF(Plan_Data[[#This Row],[Category]]="Income", Plan_Data[[#This Row],[Plan Income]], OFFSET(Plan_Data[[#This Row],[Balance]],-1,0)+Plan_Data[[#This Row],[Plan Income]]-Plan_Data[[#This Row],[Plan Budget]]), Plan_Data[[#This Row],[Plan Income]])</f>
        <v>12</v>
      </c>
    </row>
    <row r="135" spans="1:7" x14ac:dyDescent="0.2">
      <c r="A135" s="5">
        <v>2021</v>
      </c>
      <c r="B135" s="5" t="s">
        <v>122</v>
      </c>
      <c r="C135" t="s">
        <v>45</v>
      </c>
      <c r="D135" s="1"/>
      <c r="E135" s="18">
        <v>0</v>
      </c>
      <c r="F135" s="64">
        <f>Plan_Data[[#This Row],[Plan Budget]]/$D$107</f>
        <v>0</v>
      </c>
      <c r="G135" s="18">
        <f ca="1">IFERROR(IF(Plan_Data[[#This Row],[Category]]="Income", Plan_Data[[#This Row],[Plan Income]], OFFSET(Plan_Data[[#This Row],[Balance]],-1,0)+Plan_Data[[#This Row],[Plan Income]]-Plan_Data[[#This Row],[Plan Budget]]), Plan_Data[[#This Row],[Plan Income]])</f>
        <v>12</v>
      </c>
    </row>
    <row r="136" spans="1:7" x14ac:dyDescent="0.2">
      <c r="A136" s="5">
        <v>2021</v>
      </c>
      <c r="B136" s="5" t="s">
        <v>122</v>
      </c>
      <c r="C136" t="s">
        <v>11</v>
      </c>
      <c r="D136" s="1"/>
      <c r="E136" s="18">
        <v>0</v>
      </c>
      <c r="F136" s="64">
        <f>Plan_Data[[#This Row],[Plan Budget]]/$D$107</f>
        <v>0</v>
      </c>
      <c r="G136" s="18">
        <f ca="1">IFERROR(IF(Plan_Data[[#This Row],[Category]]="Income", Plan_Data[[#This Row],[Plan Income]], OFFSET(Plan_Data[[#This Row],[Balance]],-1,0)+Plan_Data[[#This Row],[Plan Income]]-Plan_Data[[#This Row],[Plan Budget]]), Plan_Data[[#This Row],[Plan Income]])</f>
        <v>12</v>
      </c>
    </row>
    <row r="137" spans="1:7" x14ac:dyDescent="0.2">
      <c r="A137" s="5">
        <v>2021</v>
      </c>
      <c r="B137" s="5" t="s">
        <v>123</v>
      </c>
      <c r="C137" t="s">
        <v>81</v>
      </c>
      <c r="D137" s="1">
        <v>3752</v>
      </c>
      <c r="E137" s="18"/>
      <c r="F137" s="64">
        <f>Plan_Data[[#This Row],[Plan Budget]]/$D$107</f>
        <v>0</v>
      </c>
      <c r="G137" s="18">
        <f ca="1">IFERROR(IF(Plan_Data[[#This Row],[Category]]="Income", Plan_Data[[#This Row],[Plan Income]], OFFSET(Plan_Data[[#This Row],[Balance]],-1,0)+Plan_Data[[#This Row],[Plan Income]]-Plan_Data[[#This Row],[Plan Budget]]), Plan_Data[[#This Row],[Plan Income]])</f>
        <v>3752</v>
      </c>
    </row>
    <row r="138" spans="1:7" x14ac:dyDescent="0.2">
      <c r="A138" s="5">
        <v>2021</v>
      </c>
      <c r="B138" s="5" t="s">
        <v>123</v>
      </c>
      <c r="C138" t="s">
        <v>42</v>
      </c>
      <c r="D138" s="1"/>
      <c r="E138" s="18">
        <v>500</v>
      </c>
      <c r="F138" s="64">
        <f>Plan_Data[[#This Row],[Plan Budget]]/$D$107</f>
        <v>0.13326226012793177</v>
      </c>
      <c r="G138" s="18">
        <f ca="1">IFERROR(IF(Plan_Data[[#This Row],[Category]]="Income", Plan_Data[[#This Row],[Plan Income]], OFFSET(Plan_Data[[#This Row],[Balance]],-1,0)+Plan_Data[[#This Row],[Plan Income]]-Plan_Data[[#This Row],[Plan Budget]]), Plan_Data[[#This Row],[Plan Income]])</f>
        <v>3252</v>
      </c>
    </row>
    <row r="139" spans="1:7" x14ac:dyDescent="0.2">
      <c r="A139" s="5">
        <v>2021</v>
      </c>
      <c r="B139" s="5" t="s">
        <v>123</v>
      </c>
      <c r="C139" t="s">
        <v>48</v>
      </c>
      <c r="D139" s="1"/>
      <c r="E139" s="18">
        <v>1500</v>
      </c>
      <c r="F139" s="64">
        <f>Plan_Data[[#This Row],[Plan Budget]]/$D$107</f>
        <v>0.39978678038379528</v>
      </c>
      <c r="G139" s="18">
        <f ca="1">IFERROR(IF(Plan_Data[[#This Row],[Category]]="Income", Plan_Data[[#This Row],[Plan Income]], OFFSET(Plan_Data[[#This Row],[Balance]],-1,0)+Plan_Data[[#This Row],[Plan Income]]-Plan_Data[[#This Row],[Plan Budget]]), Plan_Data[[#This Row],[Plan Income]])</f>
        <v>1752</v>
      </c>
    </row>
    <row r="140" spans="1:7" x14ac:dyDescent="0.2">
      <c r="A140" s="5">
        <v>2021</v>
      </c>
      <c r="B140" s="5" t="s">
        <v>123</v>
      </c>
      <c r="C140" t="s">
        <v>31</v>
      </c>
      <c r="D140" s="1"/>
      <c r="E140" s="18">
        <v>700</v>
      </c>
      <c r="F140" s="64">
        <f>Plan_Data[[#This Row],[Plan Budget]]/$D$107</f>
        <v>0.18656716417910449</v>
      </c>
      <c r="G140" s="18">
        <f ca="1">IFERROR(IF(Plan_Data[[#This Row],[Category]]="Income", Plan_Data[[#This Row],[Plan Income]], OFFSET(Plan_Data[[#This Row],[Balance]],-1,0)+Plan_Data[[#This Row],[Plan Income]]-Plan_Data[[#This Row],[Plan Budget]]), Plan_Data[[#This Row],[Plan Income]])</f>
        <v>1052</v>
      </c>
    </row>
    <row r="141" spans="1:7" x14ac:dyDescent="0.2">
      <c r="A141" s="5">
        <v>2021</v>
      </c>
      <c r="B141" s="5" t="s">
        <v>123</v>
      </c>
      <c r="C141" t="s">
        <v>44</v>
      </c>
      <c r="D141" s="1"/>
      <c r="E141" s="18">
        <v>540</v>
      </c>
      <c r="F141" s="64">
        <f>Plan_Data[[#This Row],[Plan Budget]]/$D$107</f>
        <v>0.1439232409381663</v>
      </c>
      <c r="G141" s="18">
        <f ca="1">IFERROR(IF(Plan_Data[[#This Row],[Category]]="Income", Plan_Data[[#This Row],[Plan Income]], OFFSET(Plan_Data[[#This Row],[Balance]],-1,0)+Plan_Data[[#This Row],[Plan Income]]-Plan_Data[[#This Row],[Plan Budget]]), Plan_Data[[#This Row],[Plan Income]])</f>
        <v>512</v>
      </c>
    </row>
    <row r="142" spans="1:7" x14ac:dyDescent="0.2">
      <c r="A142" s="5">
        <v>2021</v>
      </c>
      <c r="B142" s="5" t="s">
        <v>123</v>
      </c>
      <c r="C142" t="s">
        <v>51</v>
      </c>
      <c r="D142" s="1"/>
      <c r="E142" s="18">
        <v>0</v>
      </c>
      <c r="F142" s="64">
        <f>Plan_Data[[#This Row],[Plan Budget]]/$D$107</f>
        <v>0</v>
      </c>
      <c r="G142" s="18">
        <f ca="1">IFERROR(IF(Plan_Data[[#This Row],[Category]]="Income", Plan_Data[[#This Row],[Plan Income]], OFFSET(Plan_Data[[#This Row],[Balance]],-1,0)+Plan_Data[[#This Row],[Plan Income]]-Plan_Data[[#This Row],[Plan Budget]]), Plan_Data[[#This Row],[Plan Income]])</f>
        <v>512</v>
      </c>
    </row>
    <row r="143" spans="1:7" x14ac:dyDescent="0.2">
      <c r="A143" s="5">
        <v>2021</v>
      </c>
      <c r="B143" s="5" t="s">
        <v>123</v>
      </c>
      <c r="C143" t="s">
        <v>53</v>
      </c>
      <c r="D143" s="1"/>
      <c r="E143" s="18">
        <v>100</v>
      </c>
      <c r="F143" s="64">
        <f>Plan_Data[[#This Row],[Plan Budget]]/$D$107</f>
        <v>2.6652452025586353E-2</v>
      </c>
      <c r="G143" s="18">
        <f ca="1">IFERROR(IF(Plan_Data[[#This Row],[Category]]="Income", Plan_Data[[#This Row],[Plan Income]], OFFSET(Plan_Data[[#This Row],[Balance]],-1,0)+Plan_Data[[#This Row],[Plan Income]]-Plan_Data[[#This Row],[Plan Budget]]), Plan_Data[[#This Row],[Plan Income]])</f>
        <v>412</v>
      </c>
    </row>
    <row r="144" spans="1:7" x14ac:dyDescent="0.2">
      <c r="A144" s="5">
        <v>2021</v>
      </c>
      <c r="B144" s="5" t="s">
        <v>123</v>
      </c>
      <c r="C144" t="s">
        <v>43</v>
      </c>
      <c r="D144" s="1"/>
      <c r="E144" s="18">
        <v>0</v>
      </c>
      <c r="F144" s="64">
        <f>Plan_Data[[#This Row],[Plan Budget]]/$D$107</f>
        <v>0</v>
      </c>
      <c r="G144" s="18">
        <f ca="1">IFERROR(IF(Plan_Data[[#This Row],[Category]]="Income", Plan_Data[[#This Row],[Plan Income]], OFFSET(Plan_Data[[#This Row],[Balance]],-1,0)+Plan_Data[[#This Row],[Plan Income]]-Plan_Data[[#This Row],[Plan Budget]]), Plan_Data[[#This Row],[Plan Income]])</f>
        <v>412</v>
      </c>
    </row>
    <row r="145" spans="1:7" x14ac:dyDescent="0.2">
      <c r="A145" s="5">
        <v>2021</v>
      </c>
      <c r="B145" s="5" t="s">
        <v>123</v>
      </c>
      <c r="C145" t="s">
        <v>18</v>
      </c>
      <c r="D145" s="1"/>
      <c r="E145" s="18">
        <v>0</v>
      </c>
      <c r="F145" s="64">
        <f>Plan_Data[[#This Row],[Plan Budget]]/$D$107</f>
        <v>0</v>
      </c>
      <c r="G145" s="18">
        <f ca="1">IFERROR(IF(Plan_Data[[#This Row],[Category]]="Income", Plan_Data[[#This Row],[Plan Income]], OFFSET(Plan_Data[[#This Row],[Balance]],-1,0)+Plan_Data[[#This Row],[Plan Income]]-Plan_Data[[#This Row],[Plan Budget]]), Plan_Data[[#This Row],[Plan Income]])</f>
        <v>412</v>
      </c>
    </row>
    <row r="146" spans="1:7" x14ac:dyDescent="0.2">
      <c r="A146" s="5">
        <v>2021</v>
      </c>
      <c r="B146" s="5" t="s">
        <v>123</v>
      </c>
      <c r="C146" t="s">
        <v>49</v>
      </c>
      <c r="D146" s="1"/>
      <c r="E146" s="18">
        <v>1500</v>
      </c>
      <c r="F146" s="64">
        <f>Plan_Data[[#This Row],[Plan Budget]]/$D$107</f>
        <v>0.39978678038379528</v>
      </c>
      <c r="G146" s="18">
        <f ca="1">IFERROR(IF(Plan_Data[[#This Row],[Category]]="Income", Plan_Data[[#This Row],[Plan Income]], OFFSET(Plan_Data[[#This Row],[Balance]],-1,0)+Plan_Data[[#This Row],[Plan Income]]-Plan_Data[[#This Row],[Plan Budget]]), Plan_Data[[#This Row],[Plan Income]])</f>
        <v>-1088</v>
      </c>
    </row>
    <row r="147" spans="1:7" x14ac:dyDescent="0.2">
      <c r="A147" s="5">
        <v>2021</v>
      </c>
      <c r="B147" s="5" t="s">
        <v>123</v>
      </c>
      <c r="C147" t="s">
        <v>50</v>
      </c>
      <c r="D147" s="1"/>
      <c r="E147" s="18">
        <v>0</v>
      </c>
      <c r="F147" s="64">
        <f>Plan_Data[[#This Row],[Plan Budget]]/$D$107</f>
        <v>0</v>
      </c>
      <c r="G147" s="18">
        <f ca="1">IFERROR(IF(Plan_Data[[#This Row],[Category]]="Income", Plan_Data[[#This Row],[Plan Income]], OFFSET(Plan_Data[[#This Row],[Balance]],-1,0)+Plan_Data[[#This Row],[Plan Income]]-Plan_Data[[#This Row],[Plan Budget]]), Plan_Data[[#This Row],[Plan Income]])</f>
        <v>-1088</v>
      </c>
    </row>
    <row r="148" spans="1:7" x14ac:dyDescent="0.2">
      <c r="A148" s="5">
        <v>2021</v>
      </c>
      <c r="B148" s="5" t="s">
        <v>123</v>
      </c>
      <c r="C148" t="s">
        <v>46</v>
      </c>
      <c r="D148" s="1"/>
      <c r="E148" s="18">
        <v>0</v>
      </c>
      <c r="F148" s="64">
        <f>Plan_Data[[#This Row],[Plan Budget]]/$D$107</f>
        <v>0</v>
      </c>
      <c r="G148" s="18">
        <f ca="1">IFERROR(IF(Plan_Data[[#This Row],[Category]]="Income", Plan_Data[[#This Row],[Plan Income]], OFFSET(Plan_Data[[#This Row],[Balance]],-1,0)+Plan_Data[[#This Row],[Plan Income]]-Plan_Data[[#This Row],[Plan Budget]]), Plan_Data[[#This Row],[Plan Income]])</f>
        <v>-1088</v>
      </c>
    </row>
    <row r="149" spans="1:7" x14ac:dyDescent="0.2">
      <c r="A149" s="5">
        <v>2021</v>
      </c>
      <c r="B149" s="5" t="s">
        <v>123</v>
      </c>
      <c r="C149" t="s">
        <v>47</v>
      </c>
      <c r="D149" s="1"/>
      <c r="E149" s="18">
        <v>0</v>
      </c>
      <c r="F149" s="64">
        <f>Plan_Data[[#This Row],[Plan Budget]]/$D$107</f>
        <v>0</v>
      </c>
      <c r="G149" s="18">
        <f ca="1">IFERROR(IF(Plan_Data[[#This Row],[Category]]="Income", Plan_Data[[#This Row],[Plan Income]], OFFSET(Plan_Data[[#This Row],[Balance]],-1,0)+Plan_Data[[#This Row],[Plan Income]]-Plan_Data[[#This Row],[Plan Budget]]), Plan_Data[[#This Row],[Plan Income]])</f>
        <v>-1088</v>
      </c>
    </row>
    <row r="150" spans="1:7" x14ac:dyDescent="0.2">
      <c r="A150" s="5">
        <v>2021</v>
      </c>
      <c r="B150" s="5" t="s">
        <v>123</v>
      </c>
      <c r="C150" t="s">
        <v>45</v>
      </c>
      <c r="D150" s="1"/>
      <c r="E150" s="18">
        <v>0</v>
      </c>
      <c r="F150" s="64">
        <f>Plan_Data[[#This Row],[Plan Budget]]/$D$107</f>
        <v>0</v>
      </c>
      <c r="G150" s="18">
        <f ca="1">IFERROR(IF(Plan_Data[[#This Row],[Category]]="Income", Plan_Data[[#This Row],[Plan Income]], OFFSET(Plan_Data[[#This Row],[Balance]],-1,0)+Plan_Data[[#This Row],[Plan Income]]-Plan_Data[[#This Row],[Plan Budget]]), Plan_Data[[#This Row],[Plan Income]])</f>
        <v>-1088</v>
      </c>
    </row>
    <row r="151" spans="1:7" x14ac:dyDescent="0.2">
      <c r="A151" s="5">
        <v>2021</v>
      </c>
      <c r="B151" s="5" t="s">
        <v>123</v>
      </c>
      <c r="C151" t="s">
        <v>11</v>
      </c>
      <c r="D151" s="1"/>
      <c r="E151" s="18">
        <v>0</v>
      </c>
      <c r="F151" s="64">
        <f>Plan_Data[[#This Row],[Plan Budget]]/$D$107</f>
        <v>0</v>
      </c>
      <c r="G151" s="18">
        <f ca="1">IFERROR(IF(Plan_Data[[#This Row],[Category]]="Income", Plan_Data[[#This Row],[Plan Income]], OFFSET(Plan_Data[[#This Row],[Balance]],-1,0)+Plan_Data[[#This Row],[Plan Income]]-Plan_Data[[#This Row],[Plan Budget]]), Plan_Data[[#This Row],[Plan Income]])</f>
        <v>-1088</v>
      </c>
    </row>
  </sheetData>
  <phoneticPr fontId="12" type="noConversion"/>
  <conditionalFormatting sqref="A1:G151">
    <cfRule type="expression" dxfId="334" priority="6">
      <formula>$C1="Income"</formula>
    </cfRule>
  </conditionalFormatting>
  <conditionalFormatting sqref="A77:G91">
    <cfRule type="expression" dxfId="333" priority="5">
      <formula>$C77="Income"</formula>
    </cfRule>
  </conditionalFormatting>
  <conditionalFormatting sqref="A92:G106">
    <cfRule type="expression" dxfId="332" priority="3">
      <formula>$C92="Income"</formula>
    </cfRule>
  </conditionalFormatting>
  <conditionalFormatting sqref="A92:G106">
    <cfRule type="expression" dxfId="331" priority="4">
      <formula>$C92="Income"</formula>
    </cfRule>
  </conditionalFormatting>
  <conditionalFormatting sqref="G107:G151">
    <cfRule type="expression" dxfId="330" priority="1">
      <formula>$C107="Income"</formula>
    </cfRule>
  </conditionalFormatting>
  <conditionalFormatting sqref="G107:G151">
    <cfRule type="expression" dxfId="329" priority="2">
      <formula>$C107="Income"</formula>
    </cfRule>
  </conditionalFormatting>
  <pageMargins left="0.7" right="0.7" top="0.75" bottom="0.75" header="0.3" footer="0.3"/>
  <pageSetup orientation="portrait" r:id="rId1"/>
  <ignoredErrors>
    <ignoredError sqref="C2:C31" calculatedColumn="1"/>
  </ignoredErrors>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7D51-6C5A-490C-9710-7DB9BF3C4323}">
  <sheetPr codeName="Sheet4"/>
  <dimension ref="A4:AE40"/>
  <sheetViews>
    <sheetView topLeftCell="A10" workbookViewId="0">
      <selection activeCell="B29" sqref="B29"/>
    </sheetView>
  </sheetViews>
  <sheetFormatPr defaultRowHeight="12.75" x14ac:dyDescent="0.2"/>
  <cols>
    <col min="1" max="1" width="19.28515625" bestFit="1" customWidth="1"/>
    <col min="2" max="2" width="8.5703125" bestFit="1" customWidth="1"/>
    <col min="3" max="3" width="3.85546875" bestFit="1" customWidth="1"/>
    <col min="4" max="4" width="4.140625" bestFit="1" customWidth="1"/>
    <col min="5" max="5" width="3.85546875" bestFit="1" customWidth="1"/>
    <col min="6" max="6" width="4.28515625" bestFit="1" customWidth="1"/>
    <col min="7" max="7" width="3.5703125" bestFit="1" customWidth="1"/>
    <col min="8" max="8" width="3" bestFit="1" customWidth="1"/>
    <col min="9" max="9" width="4" bestFit="1" customWidth="1"/>
    <col min="10" max="10" width="3.85546875" bestFit="1" customWidth="1"/>
    <col min="11" max="11" width="3.7109375" bestFit="1" customWidth="1"/>
    <col min="12" max="12" width="4.140625" bestFit="1" customWidth="1"/>
    <col min="13" max="13" width="3.85546875" bestFit="1" customWidth="1"/>
    <col min="14" max="14" width="6.28515625" bestFit="1" customWidth="1"/>
    <col min="15" max="18" width="4.42578125" customWidth="1"/>
    <col min="19" max="19" width="19.28515625" bestFit="1" customWidth="1"/>
    <col min="20" max="20" width="8.5703125" bestFit="1" customWidth="1"/>
    <col min="21" max="29" width="5" bestFit="1" customWidth="1"/>
    <col min="30" max="30" width="4" bestFit="1" customWidth="1"/>
    <col min="31" max="31" width="4.140625" bestFit="1" customWidth="1"/>
    <col min="32" max="32" width="3.7109375" bestFit="1" customWidth="1"/>
    <col min="33" max="33" width="4" bestFit="1" customWidth="1"/>
    <col min="34" max="34" width="3.85546875" bestFit="1" customWidth="1"/>
    <col min="35" max="35" width="3.7109375" bestFit="1" customWidth="1"/>
    <col min="36" max="36" width="4.140625" bestFit="1" customWidth="1"/>
    <col min="37" max="37" width="4" bestFit="1" customWidth="1"/>
    <col min="38" max="38" width="6.28515625" bestFit="1" customWidth="1"/>
    <col min="39" max="39" width="8.28515625" bestFit="1" customWidth="1"/>
    <col min="40" max="40" width="3.85546875" bestFit="1" customWidth="1"/>
    <col min="41" max="41" width="4.28515625" bestFit="1" customWidth="1"/>
    <col min="42" max="42" width="3.7109375" bestFit="1" customWidth="1"/>
    <col min="43" max="43" width="4.42578125" bestFit="1" customWidth="1"/>
    <col min="44" max="44" width="3.7109375" bestFit="1" customWidth="1"/>
    <col min="45" max="45" width="3.140625" bestFit="1" customWidth="1"/>
    <col min="46" max="46" width="4" bestFit="1" customWidth="1"/>
    <col min="47" max="47" width="3.85546875" bestFit="1" customWidth="1"/>
    <col min="48" max="48" width="3.7109375" bestFit="1" customWidth="1"/>
    <col min="49" max="49" width="4.140625" bestFit="1" customWidth="1"/>
    <col min="50" max="50" width="4" bestFit="1" customWidth="1"/>
    <col min="51" max="51" width="6.28515625" bestFit="1" customWidth="1"/>
    <col min="52" max="52" width="10.140625" bestFit="1" customWidth="1"/>
  </cols>
  <sheetData>
    <row r="4" spans="1:29" x14ac:dyDescent="0.2">
      <c r="B4" s="4" t="s">
        <v>93</v>
      </c>
      <c r="S4" s="4" t="s">
        <v>159</v>
      </c>
      <c r="T4" s="4" t="s">
        <v>93</v>
      </c>
    </row>
    <row r="5" spans="1:29" x14ac:dyDescent="0.2">
      <c r="A5" s="4" t="s">
        <v>58</v>
      </c>
      <c r="B5" t="s">
        <v>115</v>
      </c>
      <c r="C5" t="s">
        <v>110</v>
      </c>
      <c r="D5" t="s">
        <v>116</v>
      </c>
      <c r="E5" t="s">
        <v>117</v>
      </c>
      <c r="F5" t="s">
        <v>118</v>
      </c>
      <c r="G5" t="s">
        <v>119</v>
      </c>
      <c r="H5" t="s">
        <v>120</v>
      </c>
      <c r="I5" t="s">
        <v>121</v>
      </c>
      <c r="J5" t="s">
        <v>122</v>
      </c>
      <c r="K5" t="s">
        <v>123</v>
      </c>
      <c r="L5" t="s">
        <v>124</v>
      </c>
      <c r="M5" t="s">
        <v>125</v>
      </c>
      <c r="N5" t="s">
        <v>486</v>
      </c>
      <c r="S5" s="4" t="s">
        <v>58</v>
      </c>
      <c r="T5" t="s">
        <v>115</v>
      </c>
      <c r="U5" t="s">
        <v>110</v>
      </c>
      <c r="V5" t="s">
        <v>116</v>
      </c>
      <c r="W5" t="s">
        <v>117</v>
      </c>
      <c r="X5" t="s">
        <v>118</v>
      </c>
      <c r="Y5" t="s">
        <v>119</v>
      </c>
      <c r="Z5" t="s">
        <v>120</v>
      </c>
      <c r="AA5" t="s">
        <v>121</v>
      </c>
      <c r="AB5" t="s">
        <v>122</v>
      </c>
      <c r="AC5" t="s">
        <v>123</v>
      </c>
    </row>
    <row r="6" spans="1:29" x14ac:dyDescent="0.2">
      <c r="A6" s="6" t="s">
        <v>81</v>
      </c>
      <c r="S6" s="6" t="s">
        <v>42</v>
      </c>
      <c r="T6" s="5">
        <v>700</v>
      </c>
      <c r="U6" s="5">
        <v>700</v>
      </c>
      <c r="V6" s="5">
        <v>700</v>
      </c>
      <c r="W6" s="5">
        <v>700</v>
      </c>
      <c r="X6" s="5">
        <v>500</v>
      </c>
      <c r="Y6" s="5">
        <v>500</v>
      </c>
      <c r="Z6" s="5">
        <v>500</v>
      </c>
      <c r="AA6" s="5">
        <v>500</v>
      </c>
      <c r="AB6" s="5">
        <v>500</v>
      </c>
      <c r="AC6" s="5">
        <v>500</v>
      </c>
    </row>
    <row r="7" spans="1:29" x14ac:dyDescent="0.2">
      <c r="A7" s="6" t="s">
        <v>42</v>
      </c>
      <c r="S7" s="6" t="s">
        <v>48</v>
      </c>
      <c r="T7" s="5">
        <v>2000</v>
      </c>
      <c r="U7" s="5">
        <v>2200</v>
      </c>
      <c r="V7" s="5">
        <v>2200</v>
      </c>
      <c r="W7" s="5">
        <v>2200</v>
      </c>
      <c r="X7" s="5">
        <v>1900</v>
      </c>
      <c r="Y7" s="5">
        <v>1500</v>
      </c>
      <c r="Z7" s="5">
        <v>1500</v>
      </c>
      <c r="AA7" s="5">
        <v>1900</v>
      </c>
      <c r="AB7" s="5">
        <v>1900</v>
      </c>
      <c r="AC7" s="5">
        <v>1500</v>
      </c>
    </row>
    <row r="8" spans="1:29" x14ac:dyDescent="0.2">
      <c r="A8" s="6" t="s">
        <v>48</v>
      </c>
      <c r="S8" s="6" t="s">
        <v>31</v>
      </c>
      <c r="T8" s="5">
        <v>150</v>
      </c>
      <c r="U8" s="5">
        <v>300</v>
      </c>
      <c r="V8" s="5">
        <v>200</v>
      </c>
      <c r="W8" s="5">
        <v>200</v>
      </c>
      <c r="X8" s="5">
        <v>300</v>
      </c>
      <c r="Y8" s="5">
        <v>500</v>
      </c>
      <c r="Z8" s="5">
        <v>700</v>
      </c>
      <c r="AA8" s="5">
        <v>600</v>
      </c>
      <c r="AB8" s="5">
        <v>700</v>
      </c>
      <c r="AC8" s="5">
        <v>700</v>
      </c>
    </row>
    <row r="9" spans="1:29" x14ac:dyDescent="0.2">
      <c r="A9" s="6" t="s">
        <v>31</v>
      </c>
      <c r="S9" s="6" t="s">
        <v>44</v>
      </c>
      <c r="T9" s="5">
        <v>60</v>
      </c>
      <c r="U9" s="5">
        <v>60</v>
      </c>
      <c r="V9" s="5">
        <v>565</v>
      </c>
      <c r="W9" s="5">
        <v>5995</v>
      </c>
      <c r="X9" s="5">
        <v>540</v>
      </c>
      <c r="Y9" s="5">
        <v>540</v>
      </c>
      <c r="Z9" s="5">
        <v>540</v>
      </c>
      <c r="AA9" s="5">
        <v>540</v>
      </c>
      <c r="AB9" s="5">
        <v>540</v>
      </c>
      <c r="AC9" s="5">
        <v>540</v>
      </c>
    </row>
    <row r="10" spans="1:29" x14ac:dyDescent="0.2">
      <c r="A10" s="6" t="s">
        <v>44</v>
      </c>
      <c r="S10" s="6" t="s">
        <v>51</v>
      </c>
      <c r="T10" s="5">
        <v>50</v>
      </c>
      <c r="U10" s="5">
        <v>100</v>
      </c>
      <c r="V10" s="5">
        <v>260</v>
      </c>
      <c r="W10" s="5">
        <v>510</v>
      </c>
      <c r="X10" s="5">
        <v>260</v>
      </c>
      <c r="Y10" s="5">
        <v>260</v>
      </c>
      <c r="Z10" s="5">
        <v>0</v>
      </c>
      <c r="AA10" s="5">
        <v>0</v>
      </c>
      <c r="AB10" s="5">
        <v>0</v>
      </c>
      <c r="AC10" s="5">
        <v>0</v>
      </c>
    </row>
    <row r="11" spans="1:29" x14ac:dyDescent="0.2">
      <c r="A11" s="6" t="s">
        <v>51</v>
      </c>
      <c r="S11" s="6" t="s">
        <v>53</v>
      </c>
      <c r="T11" s="5">
        <v>150</v>
      </c>
      <c r="U11" s="5">
        <v>50</v>
      </c>
      <c r="V11" s="5">
        <v>50</v>
      </c>
      <c r="W11" s="5">
        <v>300</v>
      </c>
      <c r="X11" s="5">
        <v>0</v>
      </c>
      <c r="Y11" s="5">
        <v>200</v>
      </c>
      <c r="Z11" s="5">
        <v>200</v>
      </c>
      <c r="AA11" s="5">
        <v>200</v>
      </c>
      <c r="AB11" s="5">
        <v>100</v>
      </c>
      <c r="AC11" s="5">
        <v>100</v>
      </c>
    </row>
    <row r="12" spans="1:29" x14ac:dyDescent="0.2">
      <c r="A12" s="6" t="s">
        <v>53</v>
      </c>
      <c r="S12" s="6" t="s">
        <v>43</v>
      </c>
      <c r="T12" s="5">
        <v>0</v>
      </c>
      <c r="U12" s="5">
        <v>0</v>
      </c>
      <c r="V12" s="5">
        <v>0</v>
      </c>
      <c r="W12" s="5">
        <v>200</v>
      </c>
      <c r="X12" s="5">
        <v>0</v>
      </c>
      <c r="Y12" s="5">
        <v>0</v>
      </c>
      <c r="Z12" s="5">
        <v>0</v>
      </c>
      <c r="AA12" s="5">
        <v>0</v>
      </c>
      <c r="AB12" s="5">
        <v>0</v>
      </c>
      <c r="AC12" s="5">
        <v>0</v>
      </c>
    </row>
    <row r="13" spans="1:29" x14ac:dyDescent="0.2">
      <c r="A13" s="6" t="s">
        <v>43</v>
      </c>
      <c r="S13" s="6" t="s">
        <v>18</v>
      </c>
      <c r="T13" s="5">
        <v>0</v>
      </c>
      <c r="U13" s="5">
        <v>0</v>
      </c>
      <c r="V13" s="5">
        <v>0</v>
      </c>
      <c r="W13" s="5">
        <v>0</v>
      </c>
      <c r="X13" s="5">
        <v>0</v>
      </c>
      <c r="Y13" s="5">
        <v>0</v>
      </c>
      <c r="Z13" s="5">
        <v>0</v>
      </c>
      <c r="AA13" s="5">
        <v>0</v>
      </c>
      <c r="AB13" s="5">
        <v>0</v>
      </c>
      <c r="AC13" s="5">
        <v>0</v>
      </c>
    </row>
    <row r="14" spans="1:29" x14ac:dyDescent="0.2">
      <c r="A14" s="6" t="s">
        <v>18</v>
      </c>
      <c r="S14" s="6" t="s">
        <v>49</v>
      </c>
      <c r="T14" s="5">
        <v>50</v>
      </c>
      <c r="U14" s="5">
        <v>50</v>
      </c>
      <c r="V14" s="5">
        <v>0</v>
      </c>
      <c r="W14" s="5">
        <v>0</v>
      </c>
      <c r="X14" s="5">
        <v>0</v>
      </c>
      <c r="Y14" s="5">
        <v>0</v>
      </c>
      <c r="Z14" s="5">
        <v>0</v>
      </c>
      <c r="AA14" s="5">
        <v>0</v>
      </c>
      <c r="AB14" s="5">
        <v>0</v>
      </c>
      <c r="AC14" s="5">
        <v>1500</v>
      </c>
    </row>
    <row r="15" spans="1:29" x14ac:dyDescent="0.2">
      <c r="A15" s="6" t="s">
        <v>49</v>
      </c>
      <c r="S15" s="6" t="s">
        <v>50</v>
      </c>
      <c r="T15" s="5">
        <v>0</v>
      </c>
      <c r="U15" s="5">
        <v>0</v>
      </c>
      <c r="V15" s="5">
        <v>0</v>
      </c>
      <c r="W15" s="5">
        <v>0</v>
      </c>
      <c r="X15" s="5">
        <v>0</v>
      </c>
      <c r="Y15" s="5">
        <v>0</v>
      </c>
      <c r="Z15" s="5">
        <v>0</v>
      </c>
      <c r="AA15" s="5">
        <v>0</v>
      </c>
      <c r="AB15" s="5">
        <v>0</v>
      </c>
      <c r="AC15" s="5">
        <v>0</v>
      </c>
    </row>
    <row r="16" spans="1:29" x14ac:dyDescent="0.2">
      <c r="A16" s="6" t="s">
        <v>50</v>
      </c>
      <c r="S16" s="6" t="s">
        <v>46</v>
      </c>
      <c r="T16" s="5">
        <v>0</v>
      </c>
      <c r="U16" s="5">
        <v>0</v>
      </c>
      <c r="V16" s="5">
        <v>0</v>
      </c>
      <c r="W16" s="5">
        <v>0</v>
      </c>
      <c r="X16" s="5">
        <v>0</v>
      </c>
      <c r="Y16" s="5">
        <v>0</v>
      </c>
      <c r="Z16" s="5">
        <v>0</v>
      </c>
      <c r="AA16" s="5">
        <v>0</v>
      </c>
      <c r="AB16" s="5">
        <v>0</v>
      </c>
      <c r="AC16" s="5">
        <v>0</v>
      </c>
    </row>
    <row r="17" spans="1:31" x14ac:dyDescent="0.2">
      <c r="A17" s="6" t="s">
        <v>46</v>
      </c>
      <c r="S17" s="6" t="s">
        <v>47</v>
      </c>
      <c r="T17" s="5">
        <v>0</v>
      </c>
      <c r="U17" s="5">
        <v>0</v>
      </c>
      <c r="V17" s="5">
        <v>0</v>
      </c>
      <c r="W17" s="5">
        <v>0</v>
      </c>
      <c r="X17" s="5">
        <v>0</v>
      </c>
      <c r="Y17" s="5">
        <v>0</v>
      </c>
      <c r="Z17" s="5">
        <v>120</v>
      </c>
      <c r="AA17" s="5">
        <v>0</v>
      </c>
      <c r="AB17" s="5">
        <v>0</v>
      </c>
      <c r="AC17" s="5">
        <v>0</v>
      </c>
    </row>
    <row r="18" spans="1:31" x14ac:dyDescent="0.2">
      <c r="A18" s="6" t="s">
        <v>47</v>
      </c>
      <c r="S18" s="6" t="s">
        <v>45</v>
      </c>
      <c r="T18" s="5">
        <v>0</v>
      </c>
      <c r="U18" s="5">
        <v>0</v>
      </c>
      <c r="V18" s="5">
        <v>0</v>
      </c>
      <c r="W18" s="5">
        <v>0</v>
      </c>
      <c r="X18" s="5">
        <v>0</v>
      </c>
      <c r="Y18" s="5">
        <v>0</v>
      </c>
      <c r="Z18" s="5">
        <v>0</v>
      </c>
      <c r="AA18" s="5">
        <v>0</v>
      </c>
      <c r="AB18" s="5">
        <v>0</v>
      </c>
      <c r="AC18" s="5">
        <v>0</v>
      </c>
    </row>
    <row r="19" spans="1:31" x14ac:dyDescent="0.2">
      <c r="A19" s="6" t="s">
        <v>45</v>
      </c>
      <c r="S19" s="6" t="s">
        <v>11</v>
      </c>
      <c r="T19" s="5">
        <v>10</v>
      </c>
      <c r="U19" s="5">
        <v>0</v>
      </c>
      <c r="V19" s="5">
        <v>0</v>
      </c>
      <c r="W19" s="5">
        <v>0</v>
      </c>
      <c r="X19" s="5">
        <v>0</v>
      </c>
      <c r="Y19" s="5">
        <v>0</v>
      </c>
      <c r="Z19" s="5">
        <v>0</v>
      </c>
      <c r="AA19" s="5">
        <v>0</v>
      </c>
      <c r="AB19" s="5">
        <v>0</v>
      </c>
      <c r="AC19" s="5">
        <v>0</v>
      </c>
    </row>
    <row r="20" spans="1:31" x14ac:dyDescent="0.2">
      <c r="A20" s="6" t="s">
        <v>11</v>
      </c>
    </row>
    <row r="25" spans="1:31" x14ac:dyDescent="0.2">
      <c r="A25" t="s">
        <v>158</v>
      </c>
      <c r="S25" t="s">
        <v>159</v>
      </c>
    </row>
    <row r="26" spans="1:31" x14ac:dyDescent="0.2">
      <c r="A26" t="s">
        <v>58</v>
      </c>
      <c r="B26" t="s">
        <v>115</v>
      </c>
      <c r="C26" t="s">
        <v>110</v>
      </c>
      <c r="D26" t="s">
        <v>116</v>
      </c>
      <c r="E26" t="s">
        <v>117</v>
      </c>
      <c r="F26" t="s">
        <v>118</v>
      </c>
      <c r="G26" t="s">
        <v>119</v>
      </c>
      <c r="H26" t="s">
        <v>120</v>
      </c>
      <c r="I26" t="s">
        <v>121</v>
      </c>
      <c r="J26" t="s">
        <v>122</v>
      </c>
      <c r="K26" t="s">
        <v>123</v>
      </c>
      <c r="L26" t="s">
        <v>124</v>
      </c>
      <c r="M26" t="s">
        <v>125</v>
      </c>
      <c r="S26" t="s">
        <v>58</v>
      </c>
      <c r="T26" t="s">
        <v>115</v>
      </c>
      <c r="U26" t="s">
        <v>110</v>
      </c>
      <c r="V26" t="s">
        <v>116</v>
      </c>
      <c r="W26" t="s">
        <v>117</v>
      </c>
      <c r="X26" t="s">
        <v>118</v>
      </c>
      <c r="Y26" t="s">
        <v>119</v>
      </c>
      <c r="Z26" t="s">
        <v>120</v>
      </c>
      <c r="AA26" t="s">
        <v>121</v>
      </c>
      <c r="AB26" t="s">
        <v>122</v>
      </c>
      <c r="AC26" t="s">
        <v>123</v>
      </c>
      <c r="AD26" t="s">
        <v>124</v>
      </c>
      <c r="AE26" t="s">
        <v>125</v>
      </c>
    </row>
    <row r="27" spans="1:31" x14ac:dyDescent="0.2">
      <c r="A27" t="s">
        <v>42</v>
      </c>
      <c r="B27" s="18">
        <f>IFERROR(INDEX($A$6:$M$19, MATCH($A27,$A$6:$A$19, 0), MATCH(B$26, $A$5:$M$5,0)),"")</f>
        <v>0</v>
      </c>
      <c r="C27" s="18">
        <f t="shared" ref="C27:M40" si="0">IFERROR(INDEX($A$6:$M$19, MATCH($A27,$A$6:$A$19, 0), MATCH(C$26, $A$5:$M$5,0)),"")</f>
        <v>0</v>
      </c>
      <c r="D27" s="18">
        <f t="shared" si="0"/>
        <v>0</v>
      </c>
      <c r="E27" s="18">
        <f t="shared" si="0"/>
        <v>0</v>
      </c>
      <c r="F27" s="18">
        <f t="shared" si="0"/>
        <v>0</v>
      </c>
      <c r="G27" s="18">
        <f t="shared" si="0"/>
        <v>0</v>
      </c>
      <c r="H27" s="18">
        <f t="shared" si="0"/>
        <v>0</v>
      </c>
      <c r="I27" s="18">
        <f t="shared" si="0"/>
        <v>0</v>
      </c>
      <c r="J27" s="18">
        <f t="shared" si="0"/>
        <v>0</v>
      </c>
      <c r="K27" s="18">
        <f t="shared" si="0"/>
        <v>0</v>
      </c>
      <c r="L27" s="18">
        <f t="shared" si="0"/>
        <v>0</v>
      </c>
      <c r="M27" s="18">
        <f t="shared" si="0"/>
        <v>0</v>
      </c>
      <c r="N27" t="str">
        <f>IFERROR(INDEX($A$7:$E$20, MATCH(M27,$A$7:$A$20, 0), MATCH(L$26, $A$5:$E$5,0)),"")</f>
        <v/>
      </c>
      <c r="O27" t="str">
        <f>IFERROR(INDEX($A$7:$E$20, MATCH(N27,$A$7:$A$20, 0), MATCH(M$26, $A$5:$E$5,0)),"")</f>
        <v/>
      </c>
      <c r="S27" t="s">
        <v>42</v>
      </c>
      <c r="T27" s="18">
        <f>IFERROR(INDEX($S$6:$AE$19, MATCH($A27,$A$6:$A$19, 0), MATCH(B$26, $S$5:$AE$5,0)),"")</f>
        <v>2000</v>
      </c>
      <c r="U27" s="18">
        <f t="shared" ref="U27:AE40" si="1">IFERROR(INDEX($S$6:$AE$19, MATCH($A27,$A$6:$A$19, 0), MATCH(C$26, $S$5:$AE$5,0)),"")</f>
        <v>2200</v>
      </c>
      <c r="V27" s="18">
        <f t="shared" si="1"/>
        <v>2200</v>
      </c>
      <c r="W27" s="18">
        <f t="shared" si="1"/>
        <v>2200</v>
      </c>
      <c r="X27" s="18">
        <f t="shared" si="1"/>
        <v>1900</v>
      </c>
      <c r="Y27" s="18">
        <f t="shared" si="1"/>
        <v>1500</v>
      </c>
      <c r="Z27" s="18">
        <f t="shared" si="1"/>
        <v>1500</v>
      </c>
      <c r="AA27" s="18">
        <f t="shared" si="1"/>
        <v>1900</v>
      </c>
      <c r="AB27" s="18">
        <f t="shared" si="1"/>
        <v>1900</v>
      </c>
      <c r="AC27" s="18">
        <f t="shared" si="1"/>
        <v>1500</v>
      </c>
      <c r="AD27" s="18" t="str">
        <f t="shared" si="1"/>
        <v/>
      </c>
      <c r="AE27" s="18" t="str">
        <f t="shared" si="1"/>
        <v/>
      </c>
    </row>
    <row r="28" spans="1:31" x14ac:dyDescent="0.2">
      <c r="A28" t="s">
        <v>48</v>
      </c>
      <c r="B28" s="18">
        <f t="shared" ref="B28:B40" si="2">IFERROR(INDEX($A$6:$M$19, MATCH($A28,$A$6:$A$19, 0), MATCH(B$26, $A$5:$M$5,0)),"")</f>
        <v>0</v>
      </c>
      <c r="C28" s="18">
        <f t="shared" si="0"/>
        <v>0</v>
      </c>
      <c r="D28" s="18">
        <f t="shared" si="0"/>
        <v>0</v>
      </c>
      <c r="E28" s="18">
        <f t="shared" si="0"/>
        <v>0</v>
      </c>
      <c r="F28" s="18">
        <f t="shared" si="0"/>
        <v>0</v>
      </c>
      <c r="G28" s="18">
        <f t="shared" si="0"/>
        <v>0</v>
      </c>
      <c r="H28" s="18">
        <f t="shared" si="0"/>
        <v>0</v>
      </c>
      <c r="I28" s="18">
        <f t="shared" si="0"/>
        <v>0</v>
      </c>
      <c r="J28" s="18">
        <f t="shared" si="0"/>
        <v>0</v>
      </c>
      <c r="K28" s="18">
        <f t="shared" si="0"/>
        <v>0</v>
      </c>
      <c r="L28" s="18">
        <f t="shared" si="0"/>
        <v>0</v>
      </c>
      <c r="M28" s="18">
        <f t="shared" si="0"/>
        <v>0</v>
      </c>
      <c r="S28" t="s">
        <v>48</v>
      </c>
      <c r="T28" s="18">
        <f t="shared" ref="T28:T40" si="3">IFERROR(INDEX($S$6:$AE$19, MATCH($A28,$A$6:$A$19, 0), MATCH(B$26, $S$5:$AE$5,0)),"")</f>
        <v>150</v>
      </c>
      <c r="U28" s="18">
        <f t="shared" si="1"/>
        <v>300</v>
      </c>
      <c r="V28" s="18">
        <f t="shared" si="1"/>
        <v>200</v>
      </c>
      <c r="W28" s="18">
        <f t="shared" si="1"/>
        <v>200</v>
      </c>
      <c r="X28" s="18">
        <f t="shared" si="1"/>
        <v>300</v>
      </c>
      <c r="Y28" s="18">
        <f t="shared" si="1"/>
        <v>500</v>
      </c>
      <c r="Z28" s="18">
        <f t="shared" si="1"/>
        <v>700</v>
      </c>
      <c r="AA28" s="18">
        <f t="shared" si="1"/>
        <v>600</v>
      </c>
      <c r="AB28" s="18">
        <f t="shared" si="1"/>
        <v>700</v>
      </c>
      <c r="AC28" s="18">
        <f t="shared" si="1"/>
        <v>700</v>
      </c>
      <c r="AD28" s="18" t="str">
        <f t="shared" si="1"/>
        <v/>
      </c>
      <c r="AE28" s="18" t="str">
        <f t="shared" si="1"/>
        <v/>
      </c>
    </row>
    <row r="29" spans="1:31" x14ac:dyDescent="0.2">
      <c r="A29" t="s">
        <v>31</v>
      </c>
      <c r="B29" s="18">
        <f t="shared" si="2"/>
        <v>0</v>
      </c>
      <c r="C29" s="18">
        <f t="shared" si="0"/>
        <v>0</v>
      </c>
      <c r="D29" s="18">
        <f t="shared" si="0"/>
        <v>0</v>
      </c>
      <c r="E29" s="18">
        <f t="shared" si="0"/>
        <v>0</v>
      </c>
      <c r="F29" s="18">
        <f t="shared" si="0"/>
        <v>0</v>
      </c>
      <c r="G29" s="18">
        <f t="shared" si="0"/>
        <v>0</v>
      </c>
      <c r="H29" s="18">
        <f t="shared" si="0"/>
        <v>0</v>
      </c>
      <c r="I29" s="18">
        <f t="shared" si="0"/>
        <v>0</v>
      </c>
      <c r="J29" s="18">
        <f t="shared" si="0"/>
        <v>0</v>
      </c>
      <c r="K29" s="18">
        <f t="shared" si="0"/>
        <v>0</v>
      </c>
      <c r="L29" s="18">
        <f t="shared" si="0"/>
        <v>0</v>
      </c>
      <c r="M29" s="18">
        <f t="shared" si="0"/>
        <v>0</v>
      </c>
      <c r="S29" t="s">
        <v>31</v>
      </c>
      <c r="T29" s="18">
        <f t="shared" si="3"/>
        <v>60</v>
      </c>
      <c r="U29" s="18">
        <f t="shared" si="1"/>
        <v>60</v>
      </c>
      <c r="V29" s="18">
        <f t="shared" si="1"/>
        <v>565</v>
      </c>
      <c r="W29" s="18">
        <f t="shared" si="1"/>
        <v>5995</v>
      </c>
      <c r="X29" s="18">
        <f t="shared" si="1"/>
        <v>540</v>
      </c>
      <c r="Y29" s="18">
        <f t="shared" si="1"/>
        <v>540</v>
      </c>
      <c r="Z29" s="18">
        <f t="shared" si="1"/>
        <v>540</v>
      </c>
      <c r="AA29" s="18">
        <f t="shared" si="1"/>
        <v>540</v>
      </c>
      <c r="AB29" s="18">
        <f t="shared" si="1"/>
        <v>540</v>
      </c>
      <c r="AC29" s="18">
        <f t="shared" si="1"/>
        <v>540</v>
      </c>
      <c r="AD29" s="18" t="str">
        <f t="shared" si="1"/>
        <v/>
      </c>
      <c r="AE29" s="18" t="str">
        <f t="shared" si="1"/>
        <v/>
      </c>
    </row>
    <row r="30" spans="1:31" x14ac:dyDescent="0.2">
      <c r="A30" t="s">
        <v>44</v>
      </c>
      <c r="B30" s="18">
        <f t="shared" si="2"/>
        <v>0</v>
      </c>
      <c r="C30" s="18">
        <f t="shared" si="0"/>
        <v>0</v>
      </c>
      <c r="D30" s="18">
        <f t="shared" si="0"/>
        <v>0</v>
      </c>
      <c r="E30" s="18">
        <f t="shared" si="0"/>
        <v>0</v>
      </c>
      <c r="F30" s="18">
        <f t="shared" si="0"/>
        <v>0</v>
      </c>
      <c r="G30" s="18">
        <f t="shared" si="0"/>
        <v>0</v>
      </c>
      <c r="H30" s="18">
        <f t="shared" si="0"/>
        <v>0</v>
      </c>
      <c r="I30" s="18">
        <f t="shared" si="0"/>
        <v>0</v>
      </c>
      <c r="J30" s="18">
        <f t="shared" si="0"/>
        <v>0</v>
      </c>
      <c r="K30" s="18">
        <f t="shared" si="0"/>
        <v>0</v>
      </c>
      <c r="L30" s="18">
        <f t="shared" si="0"/>
        <v>0</v>
      </c>
      <c r="M30" s="18">
        <f t="shared" si="0"/>
        <v>0</v>
      </c>
      <c r="S30" t="s">
        <v>44</v>
      </c>
      <c r="T30" s="18">
        <f t="shared" si="3"/>
        <v>50</v>
      </c>
      <c r="U30" s="18">
        <f t="shared" si="1"/>
        <v>100</v>
      </c>
      <c r="V30" s="18">
        <f t="shared" si="1"/>
        <v>260</v>
      </c>
      <c r="W30" s="18">
        <f t="shared" si="1"/>
        <v>510</v>
      </c>
      <c r="X30" s="18">
        <f t="shared" si="1"/>
        <v>260</v>
      </c>
      <c r="Y30" s="18">
        <f t="shared" si="1"/>
        <v>260</v>
      </c>
      <c r="Z30" s="18">
        <f t="shared" si="1"/>
        <v>0</v>
      </c>
      <c r="AA30" s="18">
        <f t="shared" si="1"/>
        <v>0</v>
      </c>
      <c r="AB30" s="18">
        <f t="shared" si="1"/>
        <v>0</v>
      </c>
      <c r="AC30" s="18">
        <f t="shared" si="1"/>
        <v>0</v>
      </c>
      <c r="AD30" s="18" t="str">
        <f t="shared" si="1"/>
        <v/>
      </c>
      <c r="AE30" s="18" t="str">
        <f t="shared" si="1"/>
        <v/>
      </c>
    </row>
    <row r="31" spans="1:31" x14ac:dyDescent="0.2">
      <c r="A31" t="s">
        <v>51</v>
      </c>
      <c r="B31" s="18">
        <f t="shared" si="2"/>
        <v>0</v>
      </c>
      <c r="C31" s="18">
        <f t="shared" si="0"/>
        <v>0</v>
      </c>
      <c r="D31" s="18">
        <f t="shared" si="0"/>
        <v>0</v>
      </c>
      <c r="E31" s="18">
        <f t="shared" si="0"/>
        <v>0</v>
      </c>
      <c r="F31" s="18">
        <f t="shared" si="0"/>
        <v>0</v>
      </c>
      <c r="G31" s="18">
        <f t="shared" si="0"/>
        <v>0</v>
      </c>
      <c r="H31" s="18">
        <f t="shared" si="0"/>
        <v>0</v>
      </c>
      <c r="I31" s="18">
        <f t="shared" si="0"/>
        <v>0</v>
      </c>
      <c r="J31" s="18">
        <f t="shared" si="0"/>
        <v>0</v>
      </c>
      <c r="K31" s="18">
        <f t="shared" si="0"/>
        <v>0</v>
      </c>
      <c r="L31" s="18">
        <f t="shared" si="0"/>
        <v>0</v>
      </c>
      <c r="M31" s="18">
        <f t="shared" si="0"/>
        <v>0</v>
      </c>
      <c r="S31" t="s">
        <v>51</v>
      </c>
      <c r="T31" s="18">
        <f t="shared" si="3"/>
        <v>150</v>
      </c>
      <c r="U31" s="18">
        <f t="shared" si="1"/>
        <v>50</v>
      </c>
      <c r="V31" s="18">
        <f t="shared" si="1"/>
        <v>50</v>
      </c>
      <c r="W31" s="18">
        <f t="shared" si="1"/>
        <v>300</v>
      </c>
      <c r="X31" s="18">
        <f t="shared" si="1"/>
        <v>0</v>
      </c>
      <c r="Y31" s="18">
        <f t="shared" si="1"/>
        <v>200</v>
      </c>
      <c r="Z31" s="18">
        <f t="shared" si="1"/>
        <v>200</v>
      </c>
      <c r="AA31" s="18">
        <f t="shared" si="1"/>
        <v>200</v>
      </c>
      <c r="AB31" s="18">
        <f t="shared" si="1"/>
        <v>100</v>
      </c>
      <c r="AC31" s="18">
        <f t="shared" si="1"/>
        <v>100</v>
      </c>
      <c r="AD31" s="18" t="str">
        <f t="shared" si="1"/>
        <v/>
      </c>
      <c r="AE31" s="18" t="str">
        <f t="shared" si="1"/>
        <v/>
      </c>
    </row>
    <row r="32" spans="1:31" x14ac:dyDescent="0.2">
      <c r="A32" t="s">
        <v>53</v>
      </c>
      <c r="B32" s="18">
        <f t="shared" si="2"/>
        <v>0</v>
      </c>
      <c r="C32" s="18">
        <f t="shared" si="0"/>
        <v>0</v>
      </c>
      <c r="D32" s="18">
        <f t="shared" si="0"/>
        <v>0</v>
      </c>
      <c r="E32" s="18">
        <f t="shared" si="0"/>
        <v>0</v>
      </c>
      <c r="F32" s="18">
        <f t="shared" si="0"/>
        <v>0</v>
      </c>
      <c r="G32" s="18">
        <f t="shared" si="0"/>
        <v>0</v>
      </c>
      <c r="H32" s="18">
        <f t="shared" si="0"/>
        <v>0</v>
      </c>
      <c r="I32" s="18">
        <f t="shared" si="0"/>
        <v>0</v>
      </c>
      <c r="J32" s="18">
        <f t="shared" si="0"/>
        <v>0</v>
      </c>
      <c r="K32" s="18">
        <f t="shared" si="0"/>
        <v>0</v>
      </c>
      <c r="L32" s="18">
        <f t="shared" si="0"/>
        <v>0</v>
      </c>
      <c r="M32" s="18">
        <f t="shared" si="0"/>
        <v>0</v>
      </c>
      <c r="S32" t="s">
        <v>53</v>
      </c>
      <c r="T32" s="18">
        <f t="shared" si="3"/>
        <v>0</v>
      </c>
      <c r="U32" s="18">
        <f t="shared" si="1"/>
        <v>0</v>
      </c>
      <c r="V32" s="18">
        <f t="shared" si="1"/>
        <v>0</v>
      </c>
      <c r="W32" s="18">
        <f t="shared" si="1"/>
        <v>200</v>
      </c>
      <c r="X32" s="18">
        <f t="shared" si="1"/>
        <v>0</v>
      </c>
      <c r="Y32" s="18">
        <f t="shared" si="1"/>
        <v>0</v>
      </c>
      <c r="Z32" s="18">
        <f t="shared" si="1"/>
        <v>0</v>
      </c>
      <c r="AA32" s="18">
        <f t="shared" si="1"/>
        <v>0</v>
      </c>
      <c r="AB32" s="18">
        <f t="shared" si="1"/>
        <v>0</v>
      </c>
      <c r="AC32" s="18">
        <f t="shared" si="1"/>
        <v>0</v>
      </c>
      <c r="AD32" s="18" t="str">
        <f t="shared" si="1"/>
        <v/>
      </c>
      <c r="AE32" s="18" t="str">
        <f t="shared" si="1"/>
        <v/>
      </c>
    </row>
    <row r="33" spans="1:31" x14ac:dyDescent="0.2">
      <c r="A33" t="s">
        <v>43</v>
      </c>
      <c r="B33" s="18">
        <f t="shared" si="2"/>
        <v>0</v>
      </c>
      <c r="C33" s="18">
        <f t="shared" si="0"/>
        <v>0</v>
      </c>
      <c r="D33" s="18">
        <f t="shared" si="0"/>
        <v>0</v>
      </c>
      <c r="E33" s="18">
        <f t="shared" si="0"/>
        <v>0</v>
      </c>
      <c r="F33" s="18">
        <f t="shared" si="0"/>
        <v>0</v>
      </c>
      <c r="G33" s="18">
        <f t="shared" si="0"/>
        <v>0</v>
      </c>
      <c r="H33" s="18">
        <f t="shared" si="0"/>
        <v>0</v>
      </c>
      <c r="I33" s="18">
        <f t="shared" si="0"/>
        <v>0</v>
      </c>
      <c r="J33" s="18">
        <f t="shared" si="0"/>
        <v>0</v>
      </c>
      <c r="K33" s="18">
        <f t="shared" si="0"/>
        <v>0</v>
      </c>
      <c r="L33" s="18">
        <f t="shared" si="0"/>
        <v>0</v>
      </c>
      <c r="M33" s="18">
        <f t="shared" si="0"/>
        <v>0</v>
      </c>
      <c r="S33" t="s">
        <v>43</v>
      </c>
      <c r="T33" s="18">
        <f t="shared" si="3"/>
        <v>0</v>
      </c>
      <c r="U33" s="18">
        <f t="shared" si="1"/>
        <v>0</v>
      </c>
      <c r="V33" s="18">
        <f t="shared" si="1"/>
        <v>0</v>
      </c>
      <c r="W33" s="18">
        <f t="shared" si="1"/>
        <v>0</v>
      </c>
      <c r="X33" s="18">
        <f t="shared" si="1"/>
        <v>0</v>
      </c>
      <c r="Y33" s="18">
        <f t="shared" si="1"/>
        <v>0</v>
      </c>
      <c r="Z33" s="18">
        <f t="shared" si="1"/>
        <v>0</v>
      </c>
      <c r="AA33" s="18">
        <f t="shared" si="1"/>
        <v>0</v>
      </c>
      <c r="AB33" s="18">
        <f t="shared" si="1"/>
        <v>0</v>
      </c>
      <c r="AC33" s="18">
        <f t="shared" si="1"/>
        <v>0</v>
      </c>
      <c r="AD33" s="18" t="str">
        <f t="shared" si="1"/>
        <v/>
      </c>
      <c r="AE33" s="18" t="str">
        <f t="shared" si="1"/>
        <v/>
      </c>
    </row>
    <row r="34" spans="1:31" x14ac:dyDescent="0.2">
      <c r="A34" t="s">
        <v>18</v>
      </c>
      <c r="B34" s="18">
        <f t="shared" si="2"/>
        <v>0</v>
      </c>
      <c r="C34" s="18">
        <f t="shared" si="0"/>
        <v>0</v>
      </c>
      <c r="D34" s="18">
        <f t="shared" si="0"/>
        <v>0</v>
      </c>
      <c r="E34" s="18">
        <f t="shared" si="0"/>
        <v>0</v>
      </c>
      <c r="F34" s="18">
        <f t="shared" si="0"/>
        <v>0</v>
      </c>
      <c r="G34" s="18">
        <f t="shared" si="0"/>
        <v>0</v>
      </c>
      <c r="H34" s="18">
        <f t="shared" si="0"/>
        <v>0</v>
      </c>
      <c r="I34" s="18">
        <f t="shared" si="0"/>
        <v>0</v>
      </c>
      <c r="J34" s="18">
        <f t="shared" si="0"/>
        <v>0</v>
      </c>
      <c r="K34" s="18">
        <f t="shared" si="0"/>
        <v>0</v>
      </c>
      <c r="L34" s="18">
        <f t="shared" si="0"/>
        <v>0</v>
      </c>
      <c r="M34" s="18">
        <f t="shared" si="0"/>
        <v>0</v>
      </c>
      <c r="S34" t="s">
        <v>18</v>
      </c>
      <c r="T34" s="18">
        <f t="shared" si="3"/>
        <v>50</v>
      </c>
      <c r="U34" s="18">
        <f t="shared" si="1"/>
        <v>50</v>
      </c>
      <c r="V34" s="18">
        <f t="shared" si="1"/>
        <v>0</v>
      </c>
      <c r="W34" s="18">
        <f t="shared" si="1"/>
        <v>0</v>
      </c>
      <c r="X34" s="18">
        <f t="shared" si="1"/>
        <v>0</v>
      </c>
      <c r="Y34" s="18">
        <f t="shared" si="1"/>
        <v>0</v>
      </c>
      <c r="Z34" s="18">
        <f t="shared" si="1"/>
        <v>0</v>
      </c>
      <c r="AA34" s="18">
        <f t="shared" si="1"/>
        <v>0</v>
      </c>
      <c r="AB34" s="18">
        <f t="shared" si="1"/>
        <v>0</v>
      </c>
      <c r="AC34" s="18">
        <f t="shared" si="1"/>
        <v>1500</v>
      </c>
      <c r="AD34" s="18" t="str">
        <f t="shared" si="1"/>
        <v/>
      </c>
      <c r="AE34" s="18" t="str">
        <f t="shared" si="1"/>
        <v/>
      </c>
    </row>
    <row r="35" spans="1:31" x14ac:dyDescent="0.2">
      <c r="A35" t="s">
        <v>49</v>
      </c>
      <c r="B35" s="18">
        <f t="shared" si="2"/>
        <v>0</v>
      </c>
      <c r="C35" s="18">
        <f t="shared" si="0"/>
        <v>0</v>
      </c>
      <c r="D35" s="18">
        <f t="shared" si="0"/>
        <v>0</v>
      </c>
      <c r="E35" s="18">
        <f t="shared" si="0"/>
        <v>0</v>
      </c>
      <c r="F35" s="18">
        <f t="shared" si="0"/>
        <v>0</v>
      </c>
      <c r="G35" s="18">
        <f t="shared" si="0"/>
        <v>0</v>
      </c>
      <c r="H35" s="18">
        <f t="shared" si="0"/>
        <v>0</v>
      </c>
      <c r="I35" s="18">
        <f t="shared" si="0"/>
        <v>0</v>
      </c>
      <c r="J35" s="18">
        <f t="shared" si="0"/>
        <v>0</v>
      </c>
      <c r="K35" s="18">
        <f t="shared" si="0"/>
        <v>0</v>
      </c>
      <c r="L35" s="18">
        <f t="shared" si="0"/>
        <v>0</v>
      </c>
      <c r="M35" s="18">
        <f t="shared" si="0"/>
        <v>0</v>
      </c>
      <c r="S35" t="s">
        <v>49</v>
      </c>
      <c r="T35" s="18">
        <f t="shared" si="3"/>
        <v>0</v>
      </c>
      <c r="U35" s="18">
        <f t="shared" si="1"/>
        <v>0</v>
      </c>
      <c r="V35" s="18">
        <f t="shared" si="1"/>
        <v>0</v>
      </c>
      <c r="W35" s="18">
        <f t="shared" si="1"/>
        <v>0</v>
      </c>
      <c r="X35" s="18">
        <f t="shared" si="1"/>
        <v>0</v>
      </c>
      <c r="Y35" s="18">
        <f t="shared" si="1"/>
        <v>0</v>
      </c>
      <c r="Z35" s="18">
        <f t="shared" si="1"/>
        <v>0</v>
      </c>
      <c r="AA35" s="18">
        <f t="shared" si="1"/>
        <v>0</v>
      </c>
      <c r="AB35" s="18">
        <f t="shared" si="1"/>
        <v>0</v>
      </c>
      <c r="AC35" s="18">
        <f t="shared" si="1"/>
        <v>0</v>
      </c>
      <c r="AD35" s="18" t="str">
        <f t="shared" si="1"/>
        <v/>
      </c>
      <c r="AE35" s="18" t="str">
        <f t="shared" si="1"/>
        <v/>
      </c>
    </row>
    <row r="36" spans="1:31" x14ac:dyDescent="0.2">
      <c r="A36" t="s">
        <v>50</v>
      </c>
      <c r="B36" s="18">
        <f t="shared" si="2"/>
        <v>0</v>
      </c>
      <c r="C36" s="18">
        <f t="shared" si="0"/>
        <v>0</v>
      </c>
      <c r="D36" s="18">
        <f t="shared" si="0"/>
        <v>0</v>
      </c>
      <c r="E36" s="18">
        <f t="shared" si="0"/>
        <v>0</v>
      </c>
      <c r="F36" s="18">
        <f t="shared" si="0"/>
        <v>0</v>
      </c>
      <c r="G36" s="18">
        <f t="shared" si="0"/>
        <v>0</v>
      </c>
      <c r="H36" s="18">
        <f t="shared" si="0"/>
        <v>0</v>
      </c>
      <c r="I36" s="18">
        <f t="shared" si="0"/>
        <v>0</v>
      </c>
      <c r="J36" s="18">
        <f t="shared" si="0"/>
        <v>0</v>
      </c>
      <c r="K36" s="18">
        <f t="shared" si="0"/>
        <v>0</v>
      </c>
      <c r="L36" s="18">
        <f t="shared" si="0"/>
        <v>0</v>
      </c>
      <c r="M36" s="18">
        <f t="shared" si="0"/>
        <v>0</v>
      </c>
      <c r="S36" t="s">
        <v>50</v>
      </c>
      <c r="T36" s="18">
        <f t="shared" si="3"/>
        <v>0</v>
      </c>
      <c r="U36" s="18">
        <f t="shared" si="1"/>
        <v>0</v>
      </c>
      <c r="V36" s="18">
        <f t="shared" si="1"/>
        <v>0</v>
      </c>
      <c r="W36" s="18">
        <f t="shared" si="1"/>
        <v>0</v>
      </c>
      <c r="X36" s="18">
        <f t="shared" si="1"/>
        <v>0</v>
      </c>
      <c r="Y36" s="18">
        <f t="shared" si="1"/>
        <v>0</v>
      </c>
      <c r="Z36" s="18">
        <f t="shared" si="1"/>
        <v>0</v>
      </c>
      <c r="AA36" s="18">
        <f t="shared" si="1"/>
        <v>0</v>
      </c>
      <c r="AB36" s="18">
        <f t="shared" si="1"/>
        <v>0</v>
      </c>
      <c r="AC36" s="18">
        <f t="shared" si="1"/>
        <v>0</v>
      </c>
      <c r="AD36" s="18" t="str">
        <f t="shared" si="1"/>
        <v/>
      </c>
      <c r="AE36" s="18" t="str">
        <f t="shared" si="1"/>
        <v/>
      </c>
    </row>
    <row r="37" spans="1:31" x14ac:dyDescent="0.2">
      <c r="A37" t="s">
        <v>46</v>
      </c>
      <c r="B37" s="18">
        <f t="shared" si="2"/>
        <v>0</v>
      </c>
      <c r="C37" s="18">
        <f t="shared" si="0"/>
        <v>0</v>
      </c>
      <c r="D37" s="18">
        <f t="shared" si="0"/>
        <v>0</v>
      </c>
      <c r="E37" s="18">
        <f t="shared" si="0"/>
        <v>0</v>
      </c>
      <c r="F37" s="18">
        <f t="shared" si="0"/>
        <v>0</v>
      </c>
      <c r="G37" s="18">
        <f t="shared" si="0"/>
        <v>0</v>
      </c>
      <c r="H37" s="18">
        <f t="shared" si="0"/>
        <v>0</v>
      </c>
      <c r="I37" s="18">
        <f t="shared" si="0"/>
        <v>0</v>
      </c>
      <c r="J37" s="18">
        <f t="shared" si="0"/>
        <v>0</v>
      </c>
      <c r="K37" s="18">
        <f t="shared" si="0"/>
        <v>0</v>
      </c>
      <c r="L37" s="18">
        <f t="shared" si="0"/>
        <v>0</v>
      </c>
      <c r="M37" s="18">
        <f t="shared" si="0"/>
        <v>0</v>
      </c>
      <c r="S37" t="s">
        <v>46</v>
      </c>
      <c r="T37" s="18">
        <f t="shared" si="3"/>
        <v>0</v>
      </c>
      <c r="U37" s="18">
        <f t="shared" si="1"/>
        <v>0</v>
      </c>
      <c r="V37" s="18">
        <f t="shared" si="1"/>
        <v>0</v>
      </c>
      <c r="W37" s="18">
        <f t="shared" si="1"/>
        <v>0</v>
      </c>
      <c r="X37" s="18">
        <f t="shared" si="1"/>
        <v>0</v>
      </c>
      <c r="Y37" s="18">
        <f t="shared" si="1"/>
        <v>0</v>
      </c>
      <c r="Z37" s="18">
        <f t="shared" si="1"/>
        <v>120</v>
      </c>
      <c r="AA37" s="18">
        <f t="shared" si="1"/>
        <v>0</v>
      </c>
      <c r="AB37" s="18">
        <f t="shared" si="1"/>
        <v>0</v>
      </c>
      <c r="AC37" s="18">
        <f t="shared" si="1"/>
        <v>0</v>
      </c>
      <c r="AD37" s="18" t="str">
        <f t="shared" si="1"/>
        <v/>
      </c>
      <c r="AE37" s="18" t="str">
        <f t="shared" si="1"/>
        <v/>
      </c>
    </row>
    <row r="38" spans="1:31" x14ac:dyDescent="0.2">
      <c r="A38" t="s">
        <v>47</v>
      </c>
      <c r="B38" s="18">
        <f t="shared" si="2"/>
        <v>0</v>
      </c>
      <c r="C38" s="18">
        <f t="shared" si="0"/>
        <v>0</v>
      </c>
      <c r="D38" s="18">
        <f t="shared" si="0"/>
        <v>0</v>
      </c>
      <c r="E38" s="18">
        <f t="shared" si="0"/>
        <v>0</v>
      </c>
      <c r="F38" s="18">
        <f t="shared" si="0"/>
        <v>0</v>
      </c>
      <c r="G38" s="18">
        <f t="shared" si="0"/>
        <v>0</v>
      </c>
      <c r="H38" s="18">
        <f t="shared" si="0"/>
        <v>0</v>
      </c>
      <c r="I38" s="18">
        <f t="shared" si="0"/>
        <v>0</v>
      </c>
      <c r="J38" s="18">
        <f t="shared" si="0"/>
        <v>0</v>
      </c>
      <c r="K38" s="18">
        <f t="shared" si="0"/>
        <v>0</v>
      </c>
      <c r="L38" s="18">
        <f t="shared" si="0"/>
        <v>0</v>
      </c>
      <c r="M38" s="18">
        <f t="shared" si="0"/>
        <v>0</v>
      </c>
      <c r="S38" t="s">
        <v>47</v>
      </c>
      <c r="T38" s="18">
        <f t="shared" si="3"/>
        <v>0</v>
      </c>
      <c r="U38" s="18">
        <f t="shared" si="1"/>
        <v>0</v>
      </c>
      <c r="V38" s="18">
        <f t="shared" si="1"/>
        <v>0</v>
      </c>
      <c r="W38" s="18">
        <f t="shared" si="1"/>
        <v>0</v>
      </c>
      <c r="X38" s="18">
        <f t="shared" si="1"/>
        <v>0</v>
      </c>
      <c r="Y38" s="18">
        <f t="shared" si="1"/>
        <v>0</v>
      </c>
      <c r="Z38" s="18">
        <f t="shared" si="1"/>
        <v>0</v>
      </c>
      <c r="AA38" s="18">
        <f t="shared" si="1"/>
        <v>0</v>
      </c>
      <c r="AB38" s="18">
        <f t="shared" si="1"/>
        <v>0</v>
      </c>
      <c r="AC38" s="18">
        <f t="shared" si="1"/>
        <v>0</v>
      </c>
      <c r="AD38" s="18" t="str">
        <f t="shared" si="1"/>
        <v/>
      </c>
      <c r="AE38" s="18" t="str">
        <f t="shared" si="1"/>
        <v/>
      </c>
    </row>
    <row r="39" spans="1:31" x14ac:dyDescent="0.2">
      <c r="A39" t="s">
        <v>45</v>
      </c>
      <c r="B39" s="18">
        <f t="shared" si="2"/>
        <v>0</v>
      </c>
      <c r="C39" s="18">
        <f t="shared" si="0"/>
        <v>0</v>
      </c>
      <c r="D39" s="18">
        <f t="shared" si="0"/>
        <v>0</v>
      </c>
      <c r="E39" s="18">
        <f t="shared" si="0"/>
        <v>0</v>
      </c>
      <c r="F39" s="18">
        <f t="shared" si="0"/>
        <v>0</v>
      </c>
      <c r="G39" s="18">
        <f t="shared" si="0"/>
        <v>0</v>
      </c>
      <c r="H39" s="18">
        <f t="shared" si="0"/>
        <v>0</v>
      </c>
      <c r="I39" s="18">
        <f t="shared" si="0"/>
        <v>0</v>
      </c>
      <c r="J39" s="18">
        <f t="shared" si="0"/>
        <v>0</v>
      </c>
      <c r="K39" s="18">
        <f t="shared" si="0"/>
        <v>0</v>
      </c>
      <c r="L39" s="18">
        <f t="shared" si="0"/>
        <v>0</v>
      </c>
      <c r="M39" s="18">
        <f t="shared" si="0"/>
        <v>0</v>
      </c>
      <c r="S39" t="s">
        <v>45</v>
      </c>
      <c r="T39" s="18">
        <f t="shared" si="3"/>
        <v>10</v>
      </c>
      <c r="U39" s="18">
        <f t="shared" si="1"/>
        <v>0</v>
      </c>
      <c r="V39" s="18">
        <f t="shared" si="1"/>
        <v>0</v>
      </c>
      <c r="W39" s="18">
        <f t="shared" si="1"/>
        <v>0</v>
      </c>
      <c r="X39" s="18">
        <f t="shared" si="1"/>
        <v>0</v>
      </c>
      <c r="Y39" s="18">
        <f t="shared" si="1"/>
        <v>0</v>
      </c>
      <c r="Z39" s="18">
        <f t="shared" si="1"/>
        <v>0</v>
      </c>
      <c r="AA39" s="18">
        <f t="shared" si="1"/>
        <v>0</v>
      </c>
      <c r="AB39" s="18">
        <f t="shared" si="1"/>
        <v>0</v>
      </c>
      <c r="AC39" s="18">
        <f t="shared" si="1"/>
        <v>0</v>
      </c>
      <c r="AD39" s="18" t="str">
        <f t="shared" si="1"/>
        <v/>
      </c>
      <c r="AE39" s="18" t="str">
        <f t="shared" si="1"/>
        <v/>
      </c>
    </row>
    <row r="40" spans="1:31" x14ac:dyDescent="0.2">
      <c r="A40" t="s">
        <v>11</v>
      </c>
      <c r="B40" s="18" t="str">
        <f t="shared" si="2"/>
        <v/>
      </c>
      <c r="C40" s="18" t="str">
        <f t="shared" si="0"/>
        <v/>
      </c>
      <c r="D40" s="18" t="str">
        <f t="shared" si="0"/>
        <v/>
      </c>
      <c r="E40" s="18" t="str">
        <f t="shared" si="0"/>
        <v/>
      </c>
      <c r="F40" s="18" t="str">
        <f t="shared" si="0"/>
        <v/>
      </c>
      <c r="G40" s="18" t="str">
        <f t="shared" si="0"/>
        <v/>
      </c>
      <c r="H40" s="18" t="str">
        <f t="shared" si="0"/>
        <v/>
      </c>
      <c r="I40" s="18" t="str">
        <f t="shared" si="0"/>
        <v/>
      </c>
      <c r="J40" s="18" t="str">
        <f t="shared" si="0"/>
        <v/>
      </c>
      <c r="K40" s="18" t="str">
        <f t="shared" si="0"/>
        <v/>
      </c>
      <c r="L40" s="18" t="str">
        <f t="shared" si="0"/>
        <v/>
      </c>
      <c r="M40" s="18" t="str">
        <f t="shared" si="0"/>
        <v/>
      </c>
      <c r="S40" t="s">
        <v>11</v>
      </c>
      <c r="T40" s="18" t="str">
        <f t="shared" si="3"/>
        <v/>
      </c>
      <c r="U40" s="18" t="str">
        <f t="shared" si="1"/>
        <v/>
      </c>
      <c r="V40" s="18" t="str">
        <f t="shared" si="1"/>
        <v/>
      </c>
      <c r="W40" s="18" t="str">
        <f t="shared" si="1"/>
        <v/>
      </c>
      <c r="X40" s="18" t="str">
        <f t="shared" si="1"/>
        <v/>
      </c>
      <c r="Y40" s="18" t="str">
        <f t="shared" si="1"/>
        <v/>
      </c>
      <c r="Z40" s="18" t="str">
        <f t="shared" si="1"/>
        <v/>
      </c>
      <c r="AA40" s="18" t="str">
        <f t="shared" si="1"/>
        <v/>
      </c>
      <c r="AB40" s="18" t="str">
        <f t="shared" si="1"/>
        <v/>
      </c>
      <c r="AC40" s="18" t="str">
        <f t="shared" si="1"/>
        <v/>
      </c>
      <c r="AD40" s="18" t="str">
        <f t="shared" si="1"/>
        <v/>
      </c>
      <c r="AE40" s="18" t="str">
        <f t="shared" si="1"/>
        <v/>
      </c>
    </row>
  </sheetData>
  <pageMargins left="0.7" right="0.7" top="0.75" bottom="0.75" header="0.3" footer="0.3"/>
  <pageSetup orientation="portrait" r:id="rId3"/>
  <extLst>
    <ext xmlns:x14="http://schemas.microsoft.com/office/spreadsheetml/2009/9/main" uri="{05C60535-1F16-4fd2-B633-F4F36F0B64E0}">
      <x14:sparklineGroups xmlns:xm="http://schemas.microsoft.com/office/excel/2006/main">
        <x14:sparklineGroup displayEmptyCellsAs="gap" xr2:uid="{CA1BC871-5B15-4644-A335-4CE1559E13C1}">
          <x14:colorSeries rgb="FF376092"/>
          <x14:colorNegative rgb="FFD00000"/>
          <x14:colorAxis rgb="FF000000"/>
          <x14:colorMarkers rgb="FFD00000"/>
          <x14:colorFirst rgb="FFD00000"/>
          <x14:colorLast rgb="FFD00000"/>
          <x14:colorHigh rgb="FFD00000"/>
          <x14:colorLow rgb="FFD00000"/>
          <x14:sparklines>
            <x14:sparkline>
              <xm:f>Test!B27:M27</xm:f>
              <xm:sqref>N27</xm:sqref>
            </x14:sparkline>
            <x14:sparkline>
              <xm:f>Test!B28:M28</xm:f>
              <xm:sqref>N28</xm:sqref>
            </x14:sparkline>
            <x14:sparkline>
              <xm:f>Test!B29:M29</xm:f>
              <xm:sqref>N29</xm:sqref>
            </x14:sparkline>
            <x14:sparkline>
              <xm:f>Test!B30:M30</xm:f>
              <xm:sqref>N30</xm:sqref>
            </x14:sparkline>
            <x14:sparkline>
              <xm:f>Test!B31:M31</xm:f>
              <xm:sqref>N31</xm:sqref>
            </x14:sparkline>
            <x14:sparkline>
              <xm:f>Test!B32:M32</xm:f>
              <xm:sqref>N32</xm:sqref>
            </x14:sparkline>
            <x14:sparkline>
              <xm:f>Test!B33:M33</xm:f>
              <xm:sqref>N33</xm:sqref>
            </x14:sparkline>
            <x14:sparkline>
              <xm:f>Test!B34:M34</xm:f>
              <xm:sqref>N34</xm:sqref>
            </x14:sparkline>
            <x14:sparkline>
              <xm:f>Test!B35:M35</xm:f>
              <xm:sqref>N35</xm:sqref>
            </x14:sparkline>
            <x14:sparkline>
              <xm:f>Test!B36:M36</xm:f>
              <xm:sqref>N36</xm:sqref>
            </x14:sparkline>
            <x14:sparkline>
              <xm:f>Test!B37:M37</xm:f>
              <xm:sqref>N37</xm:sqref>
            </x14:sparkline>
            <x14:sparkline>
              <xm:f>Test!B38:M38</xm:f>
              <xm:sqref>N38</xm:sqref>
            </x14:sparkline>
            <x14:sparkline>
              <xm:f>Test!B39:M39</xm:f>
              <xm:sqref>N39</xm:sqref>
            </x14:sparkline>
            <x14:sparkline>
              <xm:f>Test!B40:M40</xm:f>
              <xm:sqref>N40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97D11-160D-4F4B-AAAC-9DB38733DFD2}">
  <sheetPr codeName="Sheet5"/>
  <dimension ref="A1:C37"/>
  <sheetViews>
    <sheetView showGridLines="0" zoomScale="124" workbookViewId="0">
      <selection activeCell="C6" sqref="C6"/>
    </sheetView>
  </sheetViews>
  <sheetFormatPr defaultRowHeight="12.75" x14ac:dyDescent="0.2"/>
  <cols>
    <col min="1" max="1" width="23.28515625" bestFit="1" customWidth="1"/>
    <col min="2" max="2" width="19" bestFit="1" customWidth="1"/>
    <col min="3" max="3" width="19.7109375" bestFit="1" customWidth="1"/>
    <col min="4" max="4" width="16.7109375" bestFit="1" customWidth="1"/>
    <col min="5" max="5" width="16.5703125" bestFit="1" customWidth="1"/>
  </cols>
  <sheetData>
    <row r="1" spans="1:3" x14ac:dyDescent="0.2">
      <c r="A1" s="4" t="s">
        <v>92</v>
      </c>
      <c r="B1" t="s" vm="1">
        <v>84</v>
      </c>
    </row>
    <row r="2" spans="1:3" x14ac:dyDescent="0.2">
      <c r="A2" s="4" t="s">
        <v>93</v>
      </c>
      <c r="B2" t="s" vm="2">
        <v>117</v>
      </c>
    </row>
    <row r="4" spans="1:3" x14ac:dyDescent="0.2">
      <c r="A4" s="4" t="s">
        <v>58</v>
      </c>
      <c r="B4" t="s">
        <v>108</v>
      </c>
      <c r="C4" t="s">
        <v>487</v>
      </c>
    </row>
    <row r="5" spans="1:3" x14ac:dyDescent="0.2">
      <c r="A5" s="6" t="s">
        <v>81</v>
      </c>
      <c r="B5" s="32">
        <v>4864.95</v>
      </c>
      <c r="C5" s="32"/>
    </row>
    <row r="6" spans="1:3" x14ac:dyDescent="0.2">
      <c r="A6" s="7" t="s">
        <v>178</v>
      </c>
      <c r="B6" s="32">
        <v>1.23</v>
      </c>
      <c r="C6" s="32"/>
    </row>
    <row r="7" spans="1:3" x14ac:dyDescent="0.2">
      <c r="A7" s="7" t="s">
        <v>175</v>
      </c>
      <c r="B7" s="32">
        <v>1001.45</v>
      </c>
      <c r="C7" s="32"/>
    </row>
    <row r="8" spans="1:3" x14ac:dyDescent="0.2">
      <c r="A8" s="7" t="s">
        <v>174</v>
      </c>
      <c r="B8" s="32">
        <v>3808.13</v>
      </c>
      <c r="C8" s="32"/>
    </row>
    <row r="9" spans="1:3" x14ac:dyDescent="0.2">
      <c r="A9" s="7" t="s">
        <v>205</v>
      </c>
      <c r="B9" s="32">
        <v>54.14</v>
      </c>
      <c r="C9" s="32"/>
    </row>
    <row r="10" spans="1:3" x14ac:dyDescent="0.2">
      <c r="A10" s="6" t="s">
        <v>42</v>
      </c>
      <c r="B10" s="32"/>
      <c r="C10" s="32">
        <v>1092.01</v>
      </c>
    </row>
    <row r="11" spans="1:3" x14ac:dyDescent="0.2">
      <c r="A11" s="7" t="s">
        <v>0</v>
      </c>
      <c r="B11" s="32"/>
      <c r="C11" s="32">
        <v>700</v>
      </c>
    </row>
    <row r="12" spans="1:3" x14ac:dyDescent="0.2">
      <c r="A12" s="7" t="s">
        <v>1</v>
      </c>
      <c r="B12" s="32"/>
      <c r="C12" s="32">
        <v>392.01</v>
      </c>
    </row>
    <row r="13" spans="1:3" x14ac:dyDescent="0.2">
      <c r="A13" s="6" t="s">
        <v>48</v>
      </c>
      <c r="B13" s="32"/>
      <c r="C13" s="32">
        <v>2700</v>
      </c>
    </row>
    <row r="14" spans="1:3" x14ac:dyDescent="0.2">
      <c r="A14" s="7" t="s">
        <v>70</v>
      </c>
      <c r="B14" s="32"/>
      <c r="C14" s="32">
        <v>900</v>
      </c>
    </row>
    <row r="15" spans="1:3" x14ac:dyDescent="0.2">
      <c r="A15" s="7" t="s">
        <v>28</v>
      </c>
      <c r="B15" s="32"/>
      <c r="C15" s="32">
        <v>1800</v>
      </c>
    </row>
    <row r="16" spans="1:3" x14ac:dyDescent="0.2">
      <c r="A16" s="6" t="s">
        <v>31</v>
      </c>
      <c r="B16" s="32"/>
      <c r="C16" s="32">
        <v>484.55749999999995</v>
      </c>
    </row>
    <row r="17" spans="1:3" x14ac:dyDescent="0.2">
      <c r="A17" s="7" t="s">
        <v>30</v>
      </c>
      <c r="B17" s="32"/>
      <c r="C17" s="32">
        <v>221.0275</v>
      </c>
    </row>
    <row r="18" spans="1:3" x14ac:dyDescent="0.2">
      <c r="A18" s="7" t="s">
        <v>55</v>
      </c>
      <c r="B18" s="32"/>
      <c r="C18" s="32">
        <v>224.56000000000003</v>
      </c>
    </row>
    <row r="19" spans="1:3" x14ac:dyDescent="0.2">
      <c r="A19" s="7" t="s">
        <v>29</v>
      </c>
      <c r="B19" s="32"/>
      <c r="C19" s="32">
        <v>38.97</v>
      </c>
    </row>
    <row r="20" spans="1:3" x14ac:dyDescent="0.2">
      <c r="A20" s="6" t="s">
        <v>44</v>
      </c>
      <c r="B20" s="32"/>
      <c r="C20" s="32">
        <v>6178.89</v>
      </c>
    </row>
    <row r="21" spans="1:3" x14ac:dyDescent="0.2">
      <c r="A21" s="7" t="s">
        <v>212</v>
      </c>
      <c r="B21" s="32"/>
      <c r="C21" s="32">
        <v>129.26000000000002</v>
      </c>
    </row>
    <row r="22" spans="1:3" x14ac:dyDescent="0.2">
      <c r="A22" s="7" t="s">
        <v>19</v>
      </c>
      <c r="B22" s="32"/>
      <c r="C22" s="32">
        <v>119.63</v>
      </c>
    </row>
    <row r="23" spans="1:3" x14ac:dyDescent="0.2">
      <c r="A23" s="7" t="s">
        <v>18</v>
      </c>
      <c r="B23" s="32"/>
      <c r="C23" s="32">
        <v>930</v>
      </c>
    </row>
    <row r="24" spans="1:3" x14ac:dyDescent="0.2">
      <c r="A24" s="7" t="s">
        <v>15</v>
      </c>
      <c r="B24" s="32"/>
      <c r="C24" s="32">
        <v>5000</v>
      </c>
    </row>
    <row r="25" spans="1:3" x14ac:dyDescent="0.2">
      <c r="A25" s="6" t="s">
        <v>51</v>
      </c>
      <c r="B25" s="32"/>
      <c r="C25" s="32">
        <v>495</v>
      </c>
    </row>
    <row r="26" spans="1:3" x14ac:dyDescent="0.2">
      <c r="A26" s="7" t="s">
        <v>38</v>
      </c>
      <c r="B26" s="32"/>
      <c r="C26" s="32">
        <v>235</v>
      </c>
    </row>
    <row r="27" spans="1:3" x14ac:dyDescent="0.2">
      <c r="A27" s="7" t="s">
        <v>163</v>
      </c>
      <c r="B27" s="32"/>
      <c r="C27" s="32">
        <v>260</v>
      </c>
    </row>
    <row r="28" spans="1:3" x14ac:dyDescent="0.2">
      <c r="A28" s="6" t="s">
        <v>53</v>
      </c>
      <c r="B28" s="32"/>
      <c r="C28" s="32">
        <v>56.230000000000004</v>
      </c>
    </row>
    <row r="29" spans="1:3" x14ac:dyDescent="0.2">
      <c r="A29" s="7" t="s">
        <v>188</v>
      </c>
      <c r="B29" s="32"/>
      <c r="C29" s="32">
        <v>28.12</v>
      </c>
    </row>
    <row r="30" spans="1:3" x14ac:dyDescent="0.2">
      <c r="A30" s="7" t="s">
        <v>77</v>
      </c>
      <c r="B30" s="32"/>
      <c r="C30" s="32">
        <v>28.11</v>
      </c>
    </row>
    <row r="31" spans="1:3" x14ac:dyDescent="0.2">
      <c r="A31" s="6" t="s">
        <v>43</v>
      </c>
      <c r="B31" s="32"/>
      <c r="C31" s="32">
        <v>324.82</v>
      </c>
    </row>
    <row r="32" spans="1:3" x14ac:dyDescent="0.2">
      <c r="A32" s="7" t="s">
        <v>208</v>
      </c>
      <c r="B32" s="32"/>
      <c r="C32" s="32">
        <v>324.82</v>
      </c>
    </row>
    <row r="33" spans="1:3" x14ac:dyDescent="0.2">
      <c r="A33" s="6" t="s">
        <v>11</v>
      </c>
      <c r="B33" s="32"/>
      <c r="C33" s="32">
        <v>19.130000000000003</v>
      </c>
    </row>
    <row r="34" spans="1:3" x14ac:dyDescent="0.2">
      <c r="A34" s="7" t="s">
        <v>194</v>
      </c>
      <c r="B34" s="32"/>
      <c r="C34" s="32">
        <v>0.3</v>
      </c>
    </row>
    <row r="35" spans="1:3" x14ac:dyDescent="0.2">
      <c r="A35" s="7" t="s">
        <v>229</v>
      </c>
      <c r="B35" s="32"/>
      <c r="C35" s="32">
        <v>8.39</v>
      </c>
    </row>
    <row r="36" spans="1:3" x14ac:dyDescent="0.2">
      <c r="A36" s="7" t="s">
        <v>197</v>
      </c>
      <c r="B36" s="32"/>
      <c r="C36" s="32">
        <v>10.44</v>
      </c>
    </row>
    <row r="37" spans="1:3" x14ac:dyDescent="0.2">
      <c r="A37" s="6" t="s">
        <v>79</v>
      </c>
      <c r="B37" s="32">
        <v>4864.95</v>
      </c>
      <c r="C37" s="32">
        <v>11350.637499999999</v>
      </c>
    </row>
  </sheetData>
  <conditionalFormatting sqref="A1:A1048576">
    <cfRule type="expression" dxfId="328" priority="1">
      <formula>$A1="(blank)"</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B57B-09CA-4907-A748-6D80F91173DD}">
  <sheetPr codeName="Sheet6"/>
  <dimension ref="A1:D20"/>
  <sheetViews>
    <sheetView showGridLines="0" workbookViewId="0">
      <selection activeCell="D11" sqref="D11"/>
    </sheetView>
  </sheetViews>
  <sheetFormatPr defaultRowHeight="12.75" x14ac:dyDescent="0.2"/>
  <cols>
    <col min="1" max="1" width="19.28515625" bestFit="1" customWidth="1"/>
    <col min="2" max="2" width="16.42578125" bestFit="1" customWidth="1"/>
    <col min="3" max="3" width="16.28515625" bestFit="1" customWidth="1"/>
    <col min="4" max="4" width="14.140625" bestFit="1" customWidth="1"/>
  </cols>
  <sheetData>
    <row r="1" spans="1:4" x14ac:dyDescent="0.2">
      <c r="A1" s="4" t="s">
        <v>92</v>
      </c>
      <c r="B1" t="s" vm="1">
        <v>84</v>
      </c>
    </row>
    <row r="2" spans="1:4" x14ac:dyDescent="0.2">
      <c r="A2" s="4" t="s">
        <v>93</v>
      </c>
      <c r="B2" t="s" vm="2">
        <v>117</v>
      </c>
    </row>
    <row r="4" spans="1:4" x14ac:dyDescent="0.2">
      <c r="A4" s="4" t="s">
        <v>78</v>
      </c>
      <c r="B4" t="s">
        <v>109</v>
      </c>
      <c r="C4" t="s">
        <v>102</v>
      </c>
      <c r="D4" t="s">
        <v>126</v>
      </c>
    </row>
    <row r="5" spans="1:4" x14ac:dyDescent="0.2">
      <c r="A5" s="6" t="s">
        <v>81</v>
      </c>
      <c r="B5" s="29">
        <v>3565.6800000000003</v>
      </c>
      <c r="C5" s="29"/>
      <c r="D5" s="65">
        <v>0</v>
      </c>
    </row>
    <row r="6" spans="1:4" x14ac:dyDescent="0.2">
      <c r="A6" s="6" t="s">
        <v>42</v>
      </c>
      <c r="B6" s="29"/>
      <c r="C6" s="29">
        <v>700</v>
      </c>
      <c r="D6" s="65">
        <v>6.9272637308263232E-2</v>
      </c>
    </row>
    <row r="7" spans="1:4" x14ac:dyDescent="0.2">
      <c r="A7" s="6" t="s">
        <v>48</v>
      </c>
      <c r="B7" s="29"/>
      <c r="C7" s="29">
        <v>2200</v>
      </c>
      <c r="D7" s="65">
        <v>0.21771400296882731</v>
      </c>
    </row>
    <row r="8" spans="1:4" x14ac:dyDescent="0.2">
      <c r="A8" s="6" t="s">
        <v>31</v>
      </c>
      <c r="B8" s="29"/>
      <c r="C8" s="29">
        <v>200</v>
      </c>
      <c r="D8" s="65">
        <v>1.9792182088075209E-2</v>
      </c>
    </row>
    <row r="9" spans="1:4" x14ac:dyDescent="0.2">
      <c r="A9" s="6" t="s">
        <v>44</v>
      </c>
      <c r="B9" s="29"/>
      <c r="C9" s="29">
        <v>5995</v>
      </c>
      <c r="D9" s="65">
        <v>0.59327065809005441</v>
      </c>
    </row>
    <row r="10" spans="1:4" x14ac:dyDescent="0.2">
      <c r="A10" s="6" t="s">
        <v>51</v>
      </c>
      <c r="B10" s="29"/>
      <c r="C10" s="29">
        <v>510</v>
      </c>
      <c r="D10" s="65">
        <v>5.0470064324591786E-2</v>
      </c>
    </row>
    <row r="11" spans="1:4" x14ac:dyDescent="0.2">
      <c r="A11" s="6" t="s">
        <v>53</v>
      </c>
      <c r="B11" s="29"/>
      <c r="C11" s="29">
        <v>300</v>
      </c>
      <c r="D11" s="65">
        <v>2.9688273132112815E-2</v>
      </c>
    </row>
    <row r="12" spans="1:4" x14ac:dyDescent="0.2">
      <c r="A12" s="6" t="s">
        <v>43</v>
      </c>
      <c r="B12" s="29"/>
      <c r="C12" s="29">
        <v>200</v>
      </c>
      <c r="D12" s="65">
        <v>1.9792182088075209E-2</v>
      </c>
    </row>
    <row r="13" spans="1:4" x14ac:dyDescent="0.2">
      <c r="A13" s="6" t="s">
        <v>18</v>
      </c>
      <c r="B13" s="29"/>
      <c r="C13" s="29">
        <v>0</v>
      </c>
      <c r="D13" s="65">
        <v>0</v>
      </c>
    </row>
    <row r="14" spans="1:4" x14ac:dyDescent="0.2">
      <c r="A14" s="6" t="s">
        <v>49</v>
      </c>
      <c r="B14" s="29"/>
      <c r="C14" s="29">
        <v>0</v>
      </c>
      <c r="D14" s="65">
        <v>0</v>
      </c>
    </row>
    <row r="15" spans="1:4" x14ac:dyDescent="0.2">
      <c r="A15" s="6" t="s">
        <v>50</v>
      </c>
      <c r="B15" s="29"/>
      <c r="C15" s="29">
        <v>0</v>
      </c>
      <c r="D15" s="65">
        <v>0</v>
      </c>
    </row>
    <row r="16" spans="1:4" x14ac:dyDescent="0.2">
      <c r="A16" s="6" t="s">
        <v>46</v>
      </c>
      <c r="B16" s="29"/>
      <c r="C16" s="29">
        <v>0</v>
      </c>
      <c r="D16" s="65">
        <v>0</v>
      </c>
    </row>
    <row r="17" spans="1:4" x14ac:dyDescent="0.2">
      <c r="A17" s="6" t="s">
        <v>47</v>
      </c>
      <c r="B17" s="29"/>
      <c r="C17" s="29">
        <v>0</v>
      </c>
      <c r="D17" s="65">
        <v>0</v>
      </c>
    </row>
    <row r="18" spans="1:4" x14ac:dyDescent="0.2">
      <c r="A18" s="6" t="s">
        <v>45</v>
      </c>
      <c r="B18" s="29"/>
      <c r="C18" s="29">
        <v>0</v>
      </c>
      <c r="D18" s="65">
        <v>0</v>
      </c>
    </row>
    <row r="19" spans="1:4" x14ac:dyDescent="0.2">
      <c r="A19" s="6" t="s">
        <v>11</v>
      </c>
      <c r="B19" s="29"/>
      <c r="C19" s="29">
        <v>0</v>
      </c>
      <c r="D19" s="65">
        <v>0</v>
      </c>
    </row>
    <row r="20" spans="1:4" x14ac:dyDescent="0.2">
      <c r="A20" s="6" t="s">
        <v>79</v>
      </c>
      <c r="B20" s="29">
        <v>3565.6800000000003</v>
      </c>
      <c r="C20" s="29">
        <v>10105</v>
      </c>
      <c r="D20" s="65">
        <v>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0295B-C034-4EBE-90F6-D23EDC38C2B9}">
  <sheetPr codeName="Sheet14"/>
  <dimension ref="A1:C13"/>
  <sheetViews>
    <sheetView showGridLines="0" workbookViewId="0">
      <selection activeCell="S34" sqref="S34"/>
    </sheetView>
  </sheetViews>
  <sheetFormatPr defaultRowHeight="12.75" x14ac:dyDescent="0.2"/>
  <cols>
    <col min="1" max="1" width="12" bestFit="1" customWidth="1"/>
    <col min="2" max="3" width="8.5703125" bestFit="1" customWidth="1"/>
  </cols>
  <sheetData>
    <row r="1" spans="1:3" x14ac:dyDescent="0.2">
      <c r="A1" t="s">
        <v>265</v>
      </c>
    </row>
    <row r="3" spans="1:3" x14ac:dyDescent="0.2">
      <c r="A3" s="4" t="s">
        <v>78</v>
      </c>
      <c r="B3" t="s">
        <v>81</v>
      </c>
      <c r="C3" s="68" t="s">
        <v>484</v>
      </c>
    </row>
    <row r="4" spans="1:3" x14ac:dyDescent="0.2">
      <c r="A4" s="6" t="s">
        <v>115</v>
      </c>
      <c r="B4" s="32">
        <v>5354.51</v>
      </c>
      <c r="C4" s="68">
        <v>8626.619999999999</v>
      </c>
    </row>
    <row r="5" spans="1:3" x14ac:dyDescent="0.2">
      <c r="A5" s="6" t="s">
        <v>110</v>
      </c>
      <c r="B5" s="32">
        <v>3645.2799999999997</v>
      </c>
      <c r="C5" s="68">
        <v>3463.1900000000005</v>
      </c>
    </row>
    <row r="6" spans="1:3" x14ac:dyDescent="0.2">
      <c r="A6" s="6" t="s">
        <v>116</v>
      </c>
      <c r="B6" s="32">
        <v>5634.99</v>
      </c>
      <c r="C6" s="68">
        <v>6872.7100000000009</v>
      </c>
    </row>
    <row r="7" spans="1:3" x14ac:dyDescent="0.2">
      <c r="A7" s="6" t="s">
        <v>117</v>
      </c>
      <c r="B7" s="32">
        <v>4864.95</v>
      </c>
      <c r="C7" s="68">
        <v>11350.637499999999</v>
      </c>
    </row>
    <row r="8" spans="1:3" x14ac:dyDescent="0.2">
      <c r="A8" s="6" t="s">
        <v>118</v>
      </c>
      <c r="B8" s="32">
        <v>15398.88</v>
      </c>
      <c r="C8" s="68">
        <v>6427.2699999999995</v>
      </c>
    </row>
    <row r="9" spans="1:3" x14ac:dyDescent="0.2">
      <c r="A9" s="6" t="s">
        <v>119</v>
      </c>
      <c r="B9" s="32">
        <v>4751.1399999999994</v>
      </c>
      <c r="C9" s="68">
        <v>6035.8600000000015</v>
      </c>
    </row>
    <row r="10" spans="1:3" x14ac:dyDescent="0.2">
      <c r="A10" s="6" t="s">
        <v>120</v>
      </c>
      <c r="B10" s="32">
        <v>5628.12</v>
      </c>
      <c r="C10" s="68">
        <v>12686.699999999999</v>
      </c>
    </row>
    <row r="11" spans="1:3" x14ac:dyDescent="0.2">
      <c r="A11" s="6" t="s">
        <v>121</v>
      </c>
      <c r="B11" s="32">
        <v>4217.1400000000003</v>
      </c>
      <c r="C11" s="68">
        <v>5723.2000000000035</v>
      </c>
    </row>
    <row r="12" spans="1:3" x14ac:dyDescent="0.2">
      <c r="A12" s="6" t="s">
        <v>122</v>
      </c>
      <c r="B12" s="32"/>
      <c r="C12" s="68">
        <v>748.78</v>
      </c>
    </row>
    <row r="13" spans="1:3" x14ac:dyDescent="0.2">
      <c r="A13" s="6" t="s">
        <v>79</v>
      </c>
      <c r="B13" s="32">
        <v>49495.01</v>
      </c>
      <c r="C13" s="68">
        <v>61934.967499999999</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8D66-2E1C-4BD8-AA44-7995692A4B29}">
  <sheetPr codeName="Sheet7"/>
  <dimension ref="A1:C19"/>
  <sheetViews>
    <sheetView showGridLines="0" workbookViewId="0">
      <selection activeCell="C4" sqref="C4"/>
    </sheetView>
  </sheetViews>
  <sheetFormatPr defaultRowHeight="12.75" x14ac:dyDescent="0.2"/>
  <cols>
    <col min="1" max="1" width="19.28515625" bestFit="1" customWidth="1"/>
    <col min="2" max="2" width="8.5703125" bestFit="1" customWidth="1"/>
    <col min="3" max="3" width="7.42578125" bestFit="1" customWidth="1"/>
    <col min="4" max="4" width="7.5703125" bestFit="1" customWidth="1"/>
    <col min="5" max="5" width="12.5703125" bestFit="1" customWidth="1"/>
    <col min="6" max="6" width="11.7109375" bestFit="1" customWidth="1"/>
    <col min="7" max="7" width="8.140625" bestFit="1" customWidth="1"/>
    <col min="8" max="8" width="12.5703125" bestFit="1" customWidth="1"/>
    <col min="9" max="9" width="8.42578125" bestFit="1" customWidth="1"/>
    <col min="10" max="10" width="16.28515625" bestFit="1" customWidth="1"/>
    <col min="11" max="11" width="5" bestFit="1" customWidth="1"/>
    <col min="12" max="12" width="5.28515625" bestFit="1" customWidth="1"/>
    <col min="13" max="13" width="4.42578125" bestFit="1" customWidth="1"/>
    <col min="14" max="14" width="5.42578125" bestFit="1" customWidth="1"/>
    <col min="15" max="15" width="5.7109375" bestFit="1" customWidth="1"/>
    <col min="16" max="16" width="10" bestFit="1" customWidth="1"/>
  </cols>
  <sheetData>
    <row r="1" spans="1:3" x14ac:dyDescent="0.2">
      <c r="A1" s="4" t="s">
        <v>92</v>
      </c>
      <c r="B1" t="s" vm="1">
        <v>84</v>
      </c>
    </row>
    <row r="2" spans="1:3" x14ac:dyDescent="0.2">
      <c r="A2" s="4" t="s">
        <v>93</v>
      </c>
      <c r="B2" t="s" vm="2">
        <v>117</v>
      </c>
    </row>
    <row r="4" spans="1:3" x14ac:dyDescent="0.2">
      <c r="A4" s="4" t="s">
        <v>58</v>
      </c>
      <c r="B4" t="s">
        <v>485</v>
      </c>
      <c r="C4" t="s">
        <v>484</v>
      </c>
    </row>
    <row r="5" spans="1:3" x14ac:dyDescent="0.2">
      <c r="A5" s="6" t="s">
        <v>42</v>
      </c>
      <c r="B5" s="32">
        <v>700</v>
      </c>
      <c r="C5" s="29">
        <v>1092.01</v>
      </c>
    </row>
    <row r="6" spans="1:3" x14ac:dyDescent="0.2">
      <c r="A6" s="6" t="s">
        <v>48</v>
      </c>
      <c r="B6" s="32">
        <v>2200</v>
      </c>
      <c r="C6" s="29">
        <v>2700</v>
      </c>
    </row>
    <row r="7" spans="1:3" x14ac:dyDescent="0.2">
      <c r="A7" s="6" t="s">
        <v>31</v>
      </c>
      <c r="B7" s="32">
        <v>200</v>
      </c>
      <c r="C7" s="29">
        <v>484.55749999999995</v>
      </c>
    </row>
    <row r="8" spans="1:3" x14ac:dyDescent="0.2">
      <c r="A8" s="6" t="s">
        <v>44</v>
      </c>
      <c r="B8" s="32">
        <v>5995</v>
      </c>
      <c r="C8" s="29">
        <v>6178.89</v>
      </c>
    </row>
    <row r="9" spans="1:3" x14ac:dyDescent="0.2">
      <c r="A9" s="6" t="s">
        <v>51</v>
      </c>
      <c r="B9" s="32">
        <v>510</v>
      </c>
      <c r="C9" s="29">
        <v>495</v>
      </c>
    </row>
    <row r="10" spans="1:3" x14ac:dyDescent="0.2">
      <c r="A10" s="6" t="s">
        <v>53</v>
      </c>
      <c r="B10" s="32">
        <v>300</v>
      </c>
      <c r="C10" s="29">
        <v>56.230000000000004</v>
      </c>
    </row>
    <row r="11" spans="1:3" x14ac:dyDescent="0.2">
      <c r="A11" s="6" t="s">
        <v>43</v>
      </c>
      <c r="B11" s="32">
        <v>200</v>
      </c>
      <c r="C11" s="29">
        <v>324.82</v>
      </c>
    </row>
    <row r="12" spans="1:3" x14ac:dyDescent="0.2">
      <c r="A12" s="6" t="s">
        <v>18</v>
      </c>
      <c r="B12" s="32">
        <v>0</v>
      </c>
      <c r="C12" s="29"/>
    </row>
    <row r="13" spans="1:3" x14ac:dyDescent="0.2">
      <c r="A13" s="6" t="s">
        <v>49</v>
      </c>
      <c r="B13" s="32">
        <v>0</v>
      </c>
      <c r="C13" s="29"/>
    </row>
    <row r="14" spans="1:3" x14ac:dyDescent="0.2">
      <c r="A14" s="6" t="s">
        <v>50</v>
      </c>
      <c r="B14" s="32">
        <v>0</v>
      </c>
      <c r="C14" s="29"/>
    </row>
    <row r="15" spans="1:3" x14ac:dyDescent="0.2">
      <c r="A15" s="6" t="s">
        <v>46</v>
      </c>
      <c r="B15" s="32">
        <v>0</v>
      </c>
      <c r="C15" s="29"/>
    </row>
    <row r="16" spans="1:3" x14ac:dyDescent="0.2">
      <c r="A16" s="6" t="s">
        <v>47</v>
      </c>
      <c r="B16" s="32">
        <v>0</v>
      </c>
      <c r="C16" s="29"/>
    </row>
    <row r="17" spans="1:3" x14ac:dyDescent="0.2">
      <c r="A17" s="6" t="s">
        <v>45</v>
      </c>
      <c r="B17" s="32">
        <v>0</v>
      </c>
      <c r="C17" s="29"/>
    </row>
    <row r="18" spans="1:3" x14ac:dyDescent="0.2">
      <c r="A18" s="6" t="s">
        <v>11</v>
      </c>
      <c r="B18" s="32">
        <v>0</v>
      </c>
      <c r="C18" s="29">
        <v>19.130000000000003</v>
      </c>
    </row>
    <row r="19" spans="1:3" x14ac:dyDescent="0.2">
      <c r="A19" s="6" t="s">
        <v>79</v>
      </c>
      <c r="B19" s="32">
        <v>10105</v>
      </c>
      <c r="C19" s="29">
        <v>11350.637499999999</v>
      </c>
    </row>
  </sheetData>
  <conditionalFormatting sqref="A1:A26">
    <cfRule type="expression" dxfId="327" priority="1">
      <formula>$A1="(blank)"</formula>
    </cfRule>
  </conditionalFormatting>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129F-E6CE-44EB-ADAF-EB99EEA4B237}">
  <sheetPr codeName="Sheet8"/>
  <dimension ref="A1:C37"/>
  <sheetViews>
    <sheetView showGridLines="0" workbookViewId="0">
      <selection activeCell="E47" sqref="E47"/>
    </sheetView>
  </sheetViews>
  <sheetFormatPr defaultRowHeight="12.75" x14ac:dyDescent="0.2"/>
  <cols>
    <col min="1" max="1" width="22.5703125" bestFit="1" customWidth="1"/>
    <col min="2" max="2" width="18.140625" bestFit="1" customWidth="1"/>
    <col min="3" max="3" width="18.85546875" bestFit="1" customWidth="1"/>
  </cols>
  <sheetData>
    <row r="1" spans="1:3" x14ac:dyDescent="0.2">
      <c r="A1" s="4" t="s">
        <v>92</v>
      </c>
      <c r="B1" t="s" vm="1">
        <v>84</v>
      </c>
    </row>
    <row r="2" spans="1:3" x14ac:dyDescent="0.2">
      <c r="A2" s="4" t="s">
        <v>93</v>
      </c>
      <c r="B2" t="s" vm="2">
        <v>117</v>
      </c>
    </row>
    <row r="4" spans="1:3" x14ac:dyDescent="0.2">
      <c r="A4" s="4" t="s">
        <v>58</v>
      </c>
      <c r="B4" t="s">
        <v>108</v>
      </c>
      <c r="C4" t="s">
        <v>487</v>
      </c>
    </row>
    <row r="5" spans="1:3" x14ac:dyDescent="0.2">
      <c r="A5" s="6" t="s">
        <v>81</v>
      </c>
      <c r="B5" s="68">
        <v>4864.95</v>
      </c>
      <c r="C5" s="68"/>
    </row>
    <row r="6" spans="1:3" x14ac:dyDescent="0.2">
      <c r="A6" s="7" t="s">
        <v>178</v>
      </c>
      <c r="B6" s="68">
        <v>1.23</v>
      </c>
      <c r="C6" s="68"/>
    </row>
    <row r="7" spans="1:3" x14ac:dyDescent="0.2">
      <c r="A7" s="7" t="s">
        <v>175</v>
      </c>
      <c r="B7" s="68">
        <v>1001.45</v>
      </c>
      <c r="C7" s="68"/>
    </row>
    <row r="8" spans="1:3" x14ac:dyDescent="0.2">
      <c r="A8" s="7" t="s">
        <v>174</v>
      </c>
      <c r="B8" s="68">
        <v>3808.13</v>
      </c>
      <c r="C8" s="68"/>
    </row>
    <row r="9" spans="1:3" x14ac:dyDescent="0.2">
      <c r="A9" s="7" t="s">
        <v>205</v>
      </c>
      <c r="B9" s="68">
        <v>54.14</v>
      </c>
      <c r="C9" s="68"/>
    </row>
    <row r="10" spans="1:3" x14ac:dyDescent="0.2">
      <c r="A10" s="6" t="s">
        <v>42</v>
      </c>
      <c r="B10" s="68"/>
      <c r="C10" s="68">
        <v>1092.01</v>
      </c>
    </row>
    <row r="11" spans="1:3" x14ac:dyDescent="0.2">
      <c r="A11" s="7" t="s">
        <v>0</v>
      </c>
      <c r="B11" s="68"/>
      <c r="C11" s="68">
        <v>700</v>
      </c>
    </row>
    <row r="12" spans="1:3" x14ac:dyDescent="0.2">
      <c r="A12" s="7" t="s">
        <v>1</v>
      </c>
      <c r="B12" s="68"/>
      <c r="C12" s="68">
        <v>392.01</v>
      </c>
    </row>
    <row r="13" spans="1:3" x14ac:dyDescent="0.2">
      <c r="A13" s="6" t="s">
        <v>48</v>
      </c>
      <c r="B13" s="68"/>
      <c r="C13" s="68">
        <v>2700</v>
      </c>
    </row>
    <row r="14" spans="1:3" x14ac:dyDescent="0.2">
      <c r="A14" s="7" t="s">
        <v>70</v>
      </c>
      <c r="B14" s="68"/>
      <c r="C14" s="68">
        <v>900</v>
      </c>
    </row>
    <row r="15" spans="1:3" x14ac:dyDescent="0.2">
      <c r="A15" s="7" t="s">
        <v>28</v>
      </c>
      <c r="B15" s="68"/>
      <c r="C15" s="68">
        <v>1800</v>
      </c>
    </row>
    <row r="16" spans="1:3" x14ac:dyDescent="0.2">
      <c r="A16" s="6" t="s">
        <v>31</v>
      </c>
      <c r="B16" s="68"/>
      <c r="C16" s="68">
        <v>484.55749999999995</v>
      </c>
    </row>
    <row r="17" spans="1:3" x14ac:dyDescent="0.2">
      <c r="A17" s="7" t="s">
        <v>30</v>
      </c>
      <c r="B17" s="68"/>
      <c r="C17" s="68">
        <v>221.0275</v>
      </c>
    </row>
    <row r="18" spans="1:3" x14ac:dyDescent="0.2">
      <c r="A18" s="7" t="s">
        <v>55</v>
      </c>
      <c r="B18" s="68"/>
      <c r="C18" s="68">
        <v>224.56000000000003</v>
      </c>
    </row>
    <row r="19" spans="1:3" x14ac:dyDescent="0.2">
      <c r="A19" s="7" t="s">
        <v>29</v>
      </c>
      <c r="B19" s="68"/>
      <c r="C19" s="68">
        <v>38.97</v>
      </c>
    </row>
    <row r="20" spans="1:3" x14ac:dyDescent="0.2">
      <c r="A20" s="6" t="s">
        <v>44</v>
      </c>
      <c r="B20" s="68"/>
      <c r="C20" s="68">
        <v>6178.89</v>
      </c>
    </row>
    <row r="21" spans="1:3" x14ac:dyDescent="0.2">
      <c r="A21" s="7" t="s">
        <v>212</v>
      </c>
      <c r="B21" s="68"/>
      <c r="C21" s="68">
        <v>129.26000000000002</v>
      </c>
    </row>
    <row r="22" spans="1:3" x14ac:dyDescent="0.2">
      <c r="A22" s="7" t="s">
        <v>19</v>
      </c>
      <c r="B22" s="68"/>
      <c r="C22" s="68">
        <v>119.63</v>
      </c>
    </row>
    <row r="23" spans="1:3" x14ac:dyDescent="0.2">
      <c r="A23" s="7" t="s">
        <v>18</v>
      </c>
      <c r="B23" s="68"/>
      <c r="C23" s="68">
        <v>930</v>
      </c>
    </row>
    <row r="24" spans="1:3" x14ac:dyDescent="0.2">
      <c r="A24" s="7" t="s">
        <v>15</v>
      </c>
      <c r="B24" s="68"/>
      <c r="C24" s="68">
        <v>5000</v>
      </c>
    </row>
    <row r="25" spans="1:3" x14ac:dyDescent="0.2">
      <c r="A25" s="6" t="s">
        <v>51</v>
      </c>
      <c r="B25" s="68"/>
      <c r="C25" s="68">
        <v>495</v>
      </c>
    </row>
    <row r="26" spans="1:3" x14ac:dyDescent="0.2">
      <c r="A26" s="7" t="s">
        <v>38</v>
      </c>
      <c r="B26" s="68"/>
      <c r="C26" s="68">
        <v>235</v>
      </c>
    </row>
    <row r="27" spans="1:3" x14ac:dyDescent="0.2">
      <c r="A27" s="7" t="s">
        <v>163</v>
      </c>
      <c r="B27" s="68"/>
      <c r="C27" s="68">
        <v>260</v>
      </c>
    </row>
    <row r="28" spans="1:3" x14ac:dyDescent="0.2">
      <c r="A28" s="6" t="s">
        <v>53</v>
      </c>
      <c r="B28" s="68"/>
      <c r="C28" s="68">
        <v>56.230000000000004</v>
      </c>
    </row>
    <row r="29" spans="1:3" x14ac:dyDescent="0.2">
      <c r="A29" s="7" t="s">
        <v>188</v>
      </c>
      <c r="B29" s="68"/>
      <c r="C29" s="68">
        <v>28.12</v>
      </c>
    </row>
    <row r="30" spans="1:3" x14ac:dyDescent="0.2">
      <c r="A30" s="7" t="s">
        <v>77</v>
      </c>
      <c r="B30" s="68"/>
      <c r="C30" s="68">
        <v>28.11</v>
      </c>
    </row>
    <row r="31" spans="1:3" x14ac:dyDescent="0.2">
      <c r="A31" s="6" t="s">
        <v>43</v>
      </c>
      <c r="B31" s="68"/>
      <c r="C31" s="68">
        <v>324.82</v>
      </c>
    </row>
    <row r="32" spans="1:3" x14ac:dyDescent="0.2">
      <c r="A32" s="7" t="s">
        <v>208</v>
      </c>
      <c r="B32" s="68"/>
      <c r="C32" s="68">
        <v>324.82</v>
      </c>
    </row>
    <row r="33" spans="1:3" x14ac:dyDescent="0.2">
      <c r="A33" s="6" t="s">
        <v>11</v>
      </c>
      <c r="B33" s="68"/>
      <c r="C33" s="68">
        <v>19.130000000000003</v>
      </c>
    </row>
    <row r="34" spans="1:3" x14ac:dyDescent="0.2">
      <c r="A34" s="7" t="s">
        <v>194</v>
      </c>
      <c r="B34" s="68"/>
      <c r="C34" s="68">
        <v>0.3</v>
      </c>
    </row>
    <row r="35" spans="1:3" x14ac:dyDescent="0.2">
      <c r="A35" s="7" t="s">
        <v>229</v>
      </c>
      <c r="B35" s="68"/>
      <c r="C35" s="68">
        <v>8.39</v>
      </c>
    </row>
    <row r="36" spans="1:3" x14ac:dyDescent="0.2">
      <c r="A36" s="7" t="s">
        <v>197</v>
      </c>
      <c r="B36" s="68"/>
      <c r="C36" s="68">
        <v>10.44</v>
      </c>
    </row>
    <row r="37" spans="1:3" x14ac:dyDescent="0.2">
      <c r="A37" s="6" t="s">
        <v>79</v>
      </c>
      <c r="B37" s="68">
        <v>4864.95</v>
      </c>
      <c r="C37" s="68">
        <v>11350.637499999999</v>
      </c>
    </row>
  </sheetData>
  <conditionalFormatting sqref="A1:A19">
    <cfRule type="expression" dxfId="326" priority="1">
      <formula>$A1="(blank)"</formula>
    </cfRule>
  </conditionalFormatting>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S e c o n d _ L i s t " > < C u s t o m C o n t e n t > < ! [ C D A T A [ < T a b l e W i d g e t G r i d S e r i a l i z a t i o n   x m l n s : x s d = " h t t p : / / w w w . w 3 . o r g / 2 0 0 1 / X M L S c h e m a "   x m l n s : x s i = " h t t p : / / w w w . w 3 . o r g / 2 0 0 1 / X M L S c h e m a - i n s t a n c e " > < C o l u m n S u g g e s t e d T y p e   / > < C o l u m n F o r m a t   / > < C o l u m n A c c u r a c y   / > < C o l u m n C u r r e n c y S y m b o l   / > < C o l u m n P o s i t i v e P a t t e r n   / > < C o l u m n N e g a t i v e P a t t e r n   / > < C o l u m n W i d t h s > < i t e m > < k e y > < s t r i n g > H o u s i n g < / s t r i n g > < / k e y > < v a l u e > < i n t > 1 0 6 < / i n t > < / v a l u e > < / i t e m > < i t e m > < k e y > < s t r i n g > E n t e r t a i n m e n t < / s t r i n g > < / k e y > < v a l u e > < i n t > 1 5 3 < / i n t > < / v a l u e > < / i t e m > < i t e m > < k e y > < s t r i n g > T r a n s p o r t a t i o n < / s t r i n g > < / k e y > < v a l u e > < i n t > 1 5 8 < / i n t > < / v a l u e > < / i t e m > < i t e m > < k e y > < s t r i n g > L o a n s < / s t r i n g > < / k e y > < v a l u e > < i n t > 8 8 < / i n t > < / v a l u e > < / i t e m > < i t e m > < k e y > < s t r i n g > I n s u r a n c e < / s t r i n g > < / k e y > < v a l u e > < i n t > 1 2 0 < / i n t > < / v a l u e > < / i t e m > < i t e m > < k e y > < s t r i n g > T a x e s < / s t r i n g > < / k e y > < v a l u e > < i n t > 8 4 < / i n t > < / v a l u e > < / i t e m > < i t e m > < k e y > < s t r i n g > F o o d < / s t r i n g > < / k e y > < v a l u e > < i n t > 8 2 < / i n t > < / v a l u e > < / i t e m > < i t e m > < k e y > < s t r i n g > S a v i n g s   o r   I n v e s t m e n t s < / s t r i n g > < / k e y > < v a l u e > < i n t > 2 2 2 < / i n t > < / v a l u e > < / i t e m > < i t e m > < k e y > < s t r i n g > P e t s < / s t r i n g > < / k e y > < v a l u e > < i n t > 7 6 < / i n t > < / v a l u e > < / i t e m > < i t e m > < k e y > < s t r i n g > G i f t s   a n d   D o n a t i o n s < / s t r i n g > < / k e y > < v a l u e > < i n t > 1 9 6 < / i n t > < / v a l u e > < / i t e m > < i t e m > < k e y > < s t r i n g > P e r s o n a l   C a r e < / s t r i n g > < / k e y > < v a l u e > < i n t > 1 4 9 < / i n t > < / v a l u e > < / i t e m > < i t e m > < k e y > < s t r i n g > L e g a l < / s t r i n g > < / k e y > < v a l u e > < i n t > 8 2 < / i n t > < / v a l u e > < / i t e m > < i t e m > < k e y > < s t r i n g > S h o p p i n g < / s t r i n g > < / k e y > < v a l u e > < i n t > 1 1 5 < / i n t > < / v a l u e > < / i t e m > < / C o l u m n W i d t h s > < C o l u m n D i s p l a y I n d e x > < i t e m > < k e y > < s t r i n g > H o u s i n g < / s t r i n g > < / k e y > < v a l u e > < i n t > 0 < / i n t > < / v a l u e > < / i t e m > < i t e m > < k e y > < s t r i n g > E n t e r t a i n m e n t < / s t r i n g > < / k e y > < v a l u e > < i n t > 1 < / i n t > < / v a l u e > < / i t e m > < i t e m > < k e y > < s t r i n g > T r a n s p o r t a t i o n < / s t r i n g > < / k e y > < v a l u e > < i n t > 2 < / i n t > < / v a l u e > < / i t e m > < i t e m > < k e y > < s t r i n g > L o a n s < / s t r i n g > < / k e y > < v a l u e > < i n t > 3 < / i n t > < / v a l u e > < / i t e m > < i t e m > < k e y > < s t r i n g > I n s u r a n c e < / s t r i n g > < / k e y > < v a l u e > < i n t > 4 < / i n t > < / v a l u e > < / i t e m > < i t e m > < k e y > < s t r i n g > T a x e s < / s t r i n g > < / k e y > < v a l u e > < i n t > 5 < / i n t > < / v a l u e > < / i t e m > < i t e m > < k e y > < s t r i n g > F o o d < / s t r i n g > < / k e y > < v a l u e > < i n t > 6 < / i n t > < / v a l u e > < / i t e m > < i t e m > < k e y > < s t r i n g > S a v i n g s   o r   I n v e s t m e n t s < / s t r i n g > < / k e y > < v a l u e > < i n t > 7 < / i n t > < / v a l u e > < / i t e m > < i t e m > < k e y > < s t r i n g > P e t s < / s t r i n g > < / k e y > < v a l u e > < i n t > 8 < / i n t > < / v a l u e > < / i t e m > < i t e m > < k e y > < s t r i n g > G i f t s   a n d   D o n a t i o n s < / s t r i n g > < / k e y > < v a l u e > < i n t > 9 < / i n t > < / v a l u e > < / i t e m > < i t e m > < k e y > < s t r i n g > P e r s o n a l   C a r e < / s t r i n g > < / k e y > < v a l u e > < i n t > 1 0 < / i n t > < / v a l u e > < / i t e m > < i t e m > < k e y > < s t r i n g > L e g a l < / s t r i n g > < / k e y > < v a l u e > < i n t > 1 1 < / i n t > < / v a l u e > < / i t e m > < i t e m > < k e y > < s t r i n g > S h o p p i n g < / 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5 . 1 9 9 ] ] > < / 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 P l a n   v   A c t u a l < / K e y > < V a l u e   x m l n s : a = " h t t p : / / s c h e m a s . d a t a c o n t r a c t . o r g / 2 0 0 4 / 0 7 / M i c r o s o f t . A n a l y s i s S e r v i c e s . C o m m o n " > < a : H a s F o c u s > t r u e < / a : H a s F o c u s > < a : S i z e A t D p i 9 6 > 1 3 0 < / a : S i z e A t D p i 9 6 > < a : V i s i b l e > t r u e < / a : V i s i b l e > < / V a l u e > < / K e y V a l u e O f s t r i n g S a n d b o x E d i t o r . M e a s u r e G r i d S t a t e S c d E 3 5 R y > < K e y V a l u e O f s t r i n g S a n d b o x E d i t o r . M e a s u r e G r i d S t a t e S c d E 3 5 R y > < K e y > D a t a < / K e y > < V a l u e   x m l n s : a = " h t t p : / / s c h e m a s . d a t a c o n t r a c t . o r g / 2 0 0 4 / 0 7 / M i c r o s o f t . A n a l y s i s S e r v i c e s . C o m m o n " > < a : H a s F o c u s > t r u e < / a : H a s F o c u s > < a : S i z e A t D p i 9 6 > 1 2 5 < / a : S i z e A t D p i 9 6 > < a : V i s i b l e > t r u e < / a : V i s i b l e > < / V a l u e > < / K e y V a l u e O f s t r i n g S a n d b o x E d i t o r . M e a s u r e G r i d S t a t e S c d E 3 5 R y > < K e y V a l u e O f s t r i n g S a n d b o x E d i t o r . M e a s u r e G r i d S t a t e S c d E 3 5 R y > < K e y > F i r s t _ L i s t < / K e y > < V a l u e   x m l n s : a = " h t t p : / / s c h e m a s . d a t a c o n t r a c t . o r g / 2 0 0 4 / 0 7 / M i c r o s o f t . A n a l y s i s S e r v i c e s . C o m m o n " > < a : H a s F o c u s > t r u e < / a : H a s F o c u s > < a : S i z e A t D p i 9 6 > 1 3 0 < / a : S i z e A t D p i 9 6 > < a : V i s i b l e > t r u e < / a : V i s i b l e > < / V a l u e > < / K e y V a l u e O f s t r i n g S a n d b o x E d i t o r . M e a s u r e G r i d S t a t e S c d E 3 5 R y > < K e y V a l u e O f s t r i n g S a n d b o x E d i t o r . M e a s u r e G r i d S t a t e S c d E 3 5 R y > < K e y > S e c o n d _ L i s t < / K e y > < V a l u e   x m l n s : a = " h t t p : / / s c h e m a s . d a t a c o n t r a c t . o r g / 2 0 0 4 / 0 7 / M i c r o s o f t . A n a l y s i s S e r v i c e s . C o m m o n " > < a : H a s F o c u s > t r u e < / a : H a s F o c u s > < a : S i z e A t D p i 9 6 > 1 3 0 < / a : S i z e A t D p i 9 6 > < a : V i s i b l e > t r u e < / a : V i s i b l e > < / V a l u e > < / K e y V a l u e O f s t r i n g S a n d b o x E d i t o r . M e a s u r e G r i d S t a t e S c d E 3 5 R y > < K e y V a l u e O f s t r i n g S a n d b o x E d i t o r . M e a s u r e G r i d S t a t e S c d E 3 5 R y > < K e y > T a b l e 2 4 < / K e y > < V a l u e   x m l n s : a = " h t t p : / / s c h e m a s . d a t a c o n t r a c t . o r g / 2 0 0 4 / 0 7 / M i c r o s o f t . A n a l y s i s S e r v i c e s . C o m m o n " > < a : H a s F o c u s > t r u e < / a : H a s F o c u s > < a : S i z e A t D p i 9 6 > 1 3 0 < / a : S i z e A t D p i 9 6 > < a : V i s i b l e > t r u e < / a : V i s i b l e > < / V a l u e > < / K e y V a l u e O f s t r i n g S a n d b o x E d i t o r . M e a s u r e G r i d S t a t e S c d E 3 5 R y > < K e y V a l u e O f s t r i n g S a n d b o x E d i t o r . M e a s u r e G r i d S t a t e S c d E 3 5 R y > < K e y > M o n t h < / 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 D e b i t < / K e y > < / D i a g r a m O b j e c t K e y > < D i a g r a m O b j e c t K e y > < K e y > M e a s u r e s \ S u m   o f   D e b i t \ T a g I n f o \ F o r m u l a < / K e y > < / D i a g r a m O b j e c t K e y > < D i a g r a m O b j e c t K e y > < K e y > M e a s u r e s \ S u m   o f   D e b i t \ T a g I n f o \ V a l u e < / K e y > < / D i a g r a m O b j e c t K e y > < D i a g r a m O b j e c t K e y > < K e y > M e a s u r e s \ S u m   o f   I n c o m e < / K e y > < / D i a g r a m O b j e c t K e y > < D i a g r a m O b j e c t K e y > < K e y > M e a s u r e s \ S u m   o f   I n c o m e \ T a g I n f o \ F o r m u l a < / K e y > < / D i a g r a m O b j e c t K e y > < D i a g r a m O b j e c t K e y > < K e y > M e a s u r e s \ S u m   o f   I n c o m e \ T a g I n f o \ V a l u e < / K e y > < / D i a g r a m O b j e c t K e y > < D i a g r a m O b j e c t K e y > < K e y > C o l u m n s \ Y e a r < / K e y > < / D i a g r a m O b j e c t K e y > < D i a g r a m O b j e c t K e y > < K e y > C o l u m n s \ M o n t h < / K e y > < / D i a g r a m O b j e c t K e y > < D i a g r a m O b j e c t K e y > < K e y > C o l u m n s \ D a t e < / K e y > < / D i a g r a m O b j e c t K e y > < D i a g r a m O b j e c t K e y > < K e y > C o l u m n s \ E x p e n s e s < / K e y > < / D i a g r a m O b j e c t K e y > < D i a g r a m O b j e c t K e y > < K e y > C o l u m n s \ C a t e g o r y < / K e y > < / D i a g r a m O b j e c t K e y > < D i a g r a m O b j e c t K e y > < K e y > C o l u m n s \ S u b - C a t e g o r y < / K e y > < / D i a g r a m O b j e c t K e y > < D i a g r a m O b j e c t K e y > < K e y > C o l u m n s \ D e b i t < / K e y > < / D i a g r a m O b j e c t K e y > < D i a g r a m O b j e c t K e y > < K e y > C o l u m n s \ I n c o m e < / K e y > < / D i a g r a m O b j e c t K e y > < D i a g r a m O b j e c t K e y > < K e y > C o l u m n s \ B a l a n c e 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 D e b i t & g t ; - & l t ; M e a s u r e s \ D e b i t & g t ; < / K e y > < / D i a g r a m O b j e c t K e y > < D i a g r a m O b j e c t K e y > < K e y > L i n k s \ & l t ; C o l u m n s \ S u m   o f   D e b i t & g t ; - & l t ; M e a s u r e s \ D e b i t & g t ; \ C O L U M N < / K e y > < / D i a g r a m O b j e c t K e y > < D i a g r a m O b j e c t K e y > < K e y > L i n k s \ & l t ; C o l u m n s \ S u m   o f   D e b i t & g t ; - & l t ; M e a s u r e s \ D e b i t & g t ; \ M E A S U R E 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 D e b i t < / K e y > < / a : K e y > < a : V a l u e   i : t y p e = " M e a s u r e G r i d N o d e V i e w S t a t e " > < C o l u m n > 6 < / C o l u m n > < L a y e d O u t > t r u e < / L a y e d O u t > < W a s U I I n v i s i b l e > t r u e < / W a s U I I n v i s i b l e > < / a : V a l u e > < / a : K e y V a l u e O f D i a g r a m O b j e c t K e y a n y T y p e z b w N T n L X > < a : K e y V a l u e O f D i a g r a m O b j e c t K e y a n y T y p e z b w N T n L X > < a : K e y > < K e y > M e a s u r e s \ S u m   o f   D e b i t \ T a g I n f o \ F o r m u l a < / K e y > < / a : K e y > < a : V a l u e   i : t y p e = " M e a s u r e G r i d V i e w S t a t e I D i a g r a m T a g A d d i t i o n a l I n f o " / > < / a : K e y V a l u e O f D i a g r a m O b j e c t K e y a n y T y p e z b w N T n L X > < a : K e y V a l u e O f D i a g r a m O b j e c t K e y a n y T y p e z b w N T n L X > < a : K e y > < K e y > M e a s u r e s \ S u m   o f   D e b i t \ T a g I n f o \ V a l u e < / K e y > < / a : K e y > < a : V a l u e   i : t y p e = " M e a s u r e G r i d V i e w S t a t e I D i a g r a m T a g A d d i t i o n a l I n f o " / > < / a : K e y V a l u e O f D i a g r a m O b j e c t K e y a n y T y p e z b w N T n L X > < a : K e y V a l u e O f D i a g r a m O b j e c t K e y a n y T y p e z b w N T n L X > < a : K e y > < K e y > M e a s u r e s \ S u m   o f   I n c o m e < / K e y > < / a : K e y > < a : V a l u e   i : t y p e = " M e a s u r e G r i d N o d e V i e w S t a t e " > < C o l u m n > 7 < / 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 C o l u m n s \ E x p e n s e s < / 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 C o l u m n s \ D e b i t < / K e y > < / a : K e y > < a : V a l u e   i : t y p e = " M e a s u r e G r i d N o d e V i e w S t a t e " > < C o l u m n > 6 < / C o l u m n > < L a y e d O u t > t r u e < / L a y e d O u t > < / a : V a l u e > < / a : K e y V a l u e O f D i a g r a m O b j e c t K e y a n y T y p e z b w N T n L X > < a : K e y V a l u e O f D i a g r a m O b j e c t K e y a n y T y p e z b w N T n L X > < a : K e y > < K e y > C o l u m n s \ I n c o m e < / K e y > < / a : K e y > < a : V a l u e   i : t y p e = " M e a s u r e G r i d N o d e V i e w S t a t e " > < C o l u m n > 7 < / C o l u m n > < L a y e d O u t > t r u e < / L a y e d O u t > < / a : V a l u e > < / a : K e y V a l u e O f D i a g r a m O b j e c t K e y a n y T y p e z b w N T n L X > < a : K e y V a l u e O f D i a g r a m O b j e c t K e y a n y T y p e z b w N T n L X > < a : K e y > < K e y > C o l u m n s \ B a l a n c e < / 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 L i n k s \ & l t ; C o l u m n s \ S u m   o f   D e b i t & g t ; - & l t ; M e a s u r e s \ D e b i t & g t ; < / K e y > < / a : K e y > < a : V a l u e   i : t y p e = " M e a s u r e G r i d V i e w S t a t e I D i a g r a m L i n k " / > < / a : K e y V a l u e O f D i a g r a m O b j e c t K e y a n y T y p e z b w N T n L X > < a : K e y V a l u e O f D i a g r a m O b j e c t K e y a n y T y p e z b w N T n L X > < a : K e y > < K e y > L i n k s \ & l t ; C o l u m n s \ S u m   o f   D e b i t & g t ; - & l t ; M e a s u r e s \ D e b i t & g t ; \ C O L U M N < / K e y > < / a : K e y > < a : V a l u e   i : t y p e = " M e a s u r e G r i d V i e w S t a t e I D i a g r a m L i n k E n d p o i n t " / > < / a : K e y V a l u e O f D i a g r a m O b j e c t K e y a n y T y p e z b w N T n L X > < a : K e y V a l u e O f D i a g r a m O b j e c t K e y a n y T y p e z b w N T n L X > < a : K e y > < K e y > L i n k s \ & l t ; C o l u m n s \ S u m   o f   D e b i t & g t ; - & l t ; M e a s u r e s \ D e b i t & g t ; \ M E A S U R E 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 C o l u m n s \ H o u s i n g < / K e y > < / D i a g r a m O b j e c t K e y > < D i a g r a m O b j e c t K e y > < K e y > C o l u m n s \ E n t e r t a i n m e n t < / K e y > < / D i a g r a m O b j e c t K e y > < D i a g r a m O b j e c t K e y > < K e y > C o l u m n s \ T r a n s p o r t a t i o n < / K e y > < / D i a g r a m O b j e c t K e y > < D i a g r a m O b j e c t K e y > < K e y > C o l u m n s \ L o a n s < / K e y > < / D i a g r a m O b j e c t K e y > < D i a g r a m O b j e c t K e y > < K e y > C o l u m n s \ I n s u r a n c e < / K e y > < / D i a g r a m O b j e c t K e y > < D i a g r a m O b j e c t K e y > < K e y > C o l u m n s \ T a x e s < / K e y > < / D i a g r a m O b j e c t K e y > < D i a g r a m O b j e c t K e y > < K e y > C o l u m n s \ F o o d < / K e y > < / D i a g r a m O b j e c t K e y > < D i a g r a m O b j e c t K e y > < K e y > C o l u m n s \ S a v i n g s   o r   I n v e s t m e n t s < / K e y > < / D i a g r a m O b j e c t K e y > < D i a g r a m O b j e c t K e y > < K e y > C o l u m n s \ P e t s < / K e y > < / D i a g r a m O b j e c t K e y > < D i a g r a m O b j e c t K e y > < K e y > C o l u m n s \ G i f t s   a n d   D o n a t i o n s < / K e y > < / D i a g r a m O b j e c t K e y > < D i a g r a m O b j e c t K e y > < K e y > C o l u m n s \ P e r s o n a l   C a r e < / K e y > < / D i a g r a m O b j e c t K e y > < D i a g r a m O b j e c t K e y > < K e y > C o l u m n s \ L e g a l < / K e y > < / D i a g r a m O b j e c t K e y > < D i a g r a m O b j e c t K e y > < K e y > C o l u m n s \ S h o p p i n g 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 C o l u m n s \ H o u s i n g < / K e y > < / a : K e y > < a : V a l u e   i : t y p e = " M e a s u r e G r i d N o d e V i e w S t a t e " > < L a y e d O u t > t r u e < / L a y e d O u t > < / a : V a l u e > < / a : K e y V a l u e O f D i a g r a m O b j e c t K e y a n y T y p e z b w N T n L X > < a : K e y V a l u e O f D i a g r a m O b j e c t K e y a n y T y p e z b w N T n L X > < a : K e y > < K e y > C o l u m n s \ E n t e r t a i n m e n t < / K e y > < / a : K e y > < a : V a l u e   i : t y p e = " M e a s u r e G r i d N o d e V i e w S t a t e " > < C o l u m n > 1 < / C o l u m n > < L a y e d O u t > t r u e < / L a y e d O u t > < / a : V a l u e > < / a : K e y V a l u e O f D i a g r a m O b j e c t K e y a n y T y p e z b w N T n L X > < a : K e y V a l u e O f D i a g r a m O b j e c t K e y a n y T y p e z b w N T n L X > < a : K e y > < K e y > C o l u m n s \ T r a n s p o r t a t i o n < / K e y > < / a : K e y > < a : V a l u e   i : t y p e = " M e a s u r e G r i d N o d e V i e w S t a t e " > < C o l u m n > 2 < / C o l u m n > < L a y e d O u t > t r u e < / L a y e d O u t > < / a : V a l u e > < / a : K e y V a l u e O f D i a g r a m O b j e c t K e y a n y T y p e z b w N T n L X > < a : K e y V a l u e O f D i a g r a m O b j e c t K e y a n y T y p e z b w N T n L X > < a : K e y > < K e y > C o l u m n s \ L o a n s < / K e y > < / a : K e y > < a : V a l u e   i : t y p e = " M e a s u r e G r i d N o d e V i e w S t a t e " > < C o l u m n > 3 < / C o l u m n > < L a y e d O u t > t r u e < / L a y e d O u t > < / a : V a l u e > < / a : K e y V a l u e O f D i a g r a m O b j e c t K e y a n y T y p e z b w N T n L X > < a : K e y V a l u e O f D i a g r a m O b j e c t K e y a n y T y p e z b w N T n L X > < a : K e y > < K e y > C o l u m n s \ I n s u r a n c e < / K e y > < / a : K e y > < a : V a l u e   i : t y p e = " M e a s u r e G r i d N o d e V i e w S t a t e " > < C o l u m n > 4 < / C o l u m n > < L a y e d O u t > t r u e < / L a y e d O u t > < / a : V a l u e > < / a : K e y V a l u e O f D i a g r a m O b j e c t K e y a n y T y p e z b w N T n L X > < a : K e y V a l u e O f D i a g r a m O b j e c t K e y a n y T y p e z b w N T n L X > < a : K e y > < K e y > C o l u m n s \ T a x e s < / K e y > < / a : K e y > < a : V a l u e   i : t y p e = " M e a s u r e G r i d N o d e V i e w S t a t e " > < C o l u m n > 5 < / C o l u m n > < L a y e d O u t > t r u e < / L a y e d O u t > < / a : V a l u e > < / a : K e y V a l u e O f D i a g r a m O b j e c t K e y a n y T y p e z b w N T n L X > < a : K e y V a l u e O f D i a g r a m O b j e c t K e y a n y T y p e z b w N T n L X > < a : K e y > < K e y > C o l u m n s \ F o o d < / K e y > < / a : K e y > < a : V a l u e   i : t y p e = " M e a s u r e G r i d N o d e V i e w S t a t e " > < C o l u m n > 6 < / C o l u m n > < L a y e d O u t > t r u e < / L a y e d O u t > < / a : V a l u e > < / a : K e y V a l u e O f D i a g r a m O b j e c t K e y a n y T y p e z b w N T n L X > < a : K e y V a l u e O f D i a g r a m O b j e c t K e y a n y T y p e z b w N T n L X > < a : K e y > < K e y > C o l u m n s \ S a v i n g s   o r   I n v e s t m e n t s < / K e y > < / a : K e y > < a : V a l u e   i : t y p e = " M e a s u r e G r i d N o d e V i e w S t a t e " > < C o l u m n > 7 < / C o l u m n > < L a y e d O u t > t r u e < / L a y e d O u t > < / a : V a l u e > < / a : K e y V a l u e O f D i a g r a m O b j e c t K e y a n y T y p e z b w N T n L X > < a : K e y V a l u e O f D i a g r a m O b j e c t K e y a n y T y p e z b w N T n L X > < a : K e y > < K e y > C o l u m n s \ P e t s < / K e y > < / a : K e y > < a : V a l u e   i : t y p e = " M e a s u r e G r i d N o d e V i e w S t a t e " > < C o l u m n > 8 < / C o l u m n > < L a y e d O u t > t r u e < / L a y e d O u t > < / a : V a l u e > < / a : K e y V a l u e O f D i a g r a m O b j e c t K e y a n y T y p e z b w N T n L X > < a : K e y V a l u e O f D i a g r a m O b j e c t K e y a n y T y p e z b w N T n L X > < a : K e y > < K e y > C o l u m n s \ G i f t s   a n d   D o n a t i o n s < / K e y > < / a : K e y > < a : V a l u e   i : t y p e = " M e a s u r e G r i d N o d e V i e w S t a t e " > < C o l u m n > 9 < / C o l u m n > < L a y e d O u t > t r u e < / L a y e d O u t > < / a : V a l u e > < / a : K e y V a l u e O f D i a g r a m O b j e c t K e y a n y T y p e z b w N T n L X > < a : K e y V a l u e O f D i a g r a m O b j e c t K e y a n y T y p e z b w N T n L X > < a : K e y > < K e y > C o l u m n s \ P e r s o n a l   C a r e < / K e y > < / a : K e y > < a : V a l u e   i : t y p e = " M e a s u r e G r i d N o d e V i e w S t a t e " > < C o l u m n > 1 0 < / C o l u m n > < L a y e d O u t > t r u e < / L a y e d O u t > < / a : V a l u e > < / a : K e y V a l u e O f D i a g r a m O b j e c t K e y a n y T y p e z b w N T n L X > < a : K e y V a l u e O f D i a g r a m O b j e c t K e y a n y T y p e z b w N T n L X > < a : K e y > < K e y > C o l u m n s \ L e g a l < / K e y > < / a : K e y > < a : V a l u e   i : t y p e = " M e a s u r e G r i d N o d e V i e w S t a t e " > < C o l u m n > 1 1 < / C o l u m n > < L a y e d O u t > t r u e < / L a y e d O u t > < / a : V a l u e > < / a : K e y V a l u e O f D i a g r a m O b j e c t K e y a n y T y p e z b w N T n L X > < a : K e y V a l u e O f D i a g r a m O b j e c t K e y a n y T y p e z b w N T n L X > < a : K e y > < K e y > C o l u m n s \ S h o p p i n g < / K e y > < / a : K e y > < a : V a l u e   i : t y p e = " M e a s u r e G r i d N o d e V i e w S t a t e " > < C o l u m n > 1 2 < / C o l u m n > < L a y e d O u t > t r u e < / L a y e d O u t > < / a : V a l u e > < / 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 T a g s \ T a b l e s \ & l t ; T a b l e s \ P l a n   D a t a & g t ; < / K e y > < / D i a g r a m O b j e c t K e y > < D i a g r a m O b j e c t K e y > < K e y > D y n a m i c   T a g s \ T a b l e s \ & l t ; T a b l e s \ D a t a & g t ; < / K e y > < / D i a g r a m O b j e c t K e y > < D i a g r a m O b j e c t K e y > < K e y > D y n a m i c   T a g s \ T a b l e s \ & l t ; T a b l e s \ C a t e g o r y & g t ; < / K e y > < / D i a g r a m O b j e c t K e y > < D i a g r a m O b j e c t K e y > < K e y > D y n a m i c   T a g s \ T a b l e s \ & l t ; T a b l e s \ S u b C a t e g o r y & g t ; < / K e y > < / D i a g r a m O b j e c t K e y > < D i a g r a m O b j e c t K e y > < K e y > D y n a m i c   T a g s \ T a b l e s \ & l t ; T a b l e s \ Y e a r & g t ; < / K e y > < / D i a g r a m O b j e c t K e y > < D i a g r a m O b j e c t K e y > < K e y > D y n a m i c   T a g s \ T a b l e s \ & l t ; T a b l e s \ M o n t h & g t ; < / K e y > < / D i a g r a m O b j e c t K e y > < D i a g r a m O b j e c t K e y > < K e y > T a b l e s \ P l a n   D a t a < / K e y > < / D i a g r a m O b j e c t K e y > < D i a g r a m O b j e c t K e y > < K e y > T a b l e s \ P l a n   D a t a \ C o l u m n s \ Y e a r < / K e y > < / D i a g r a m O b j e c t K e y > < D i a g r a m O b j e c t K e y > < K e y > T a b l e s \ P l a n   D a t a \ C o l u m n s \ M o n t h < / K e y > < / D i a g r a m O b j e c t K e y > < D i a g r a m O b j e c t K e y > < K e y > T a b l e s \ P l a n   D a t a \ C o l u m n s \ C a t e g o r y < / K e y > < / D i a g r a m O b j e c t K e y > < D i a g r a m O b j e c t K e y > < K e y > T a b l e s \ P l a n   D a t a \ C o l u m n s \ P l a n   I n c o m e < / K e y > < / D i a g r a m O b j e c t K e y > < D i a g r a m O b j e c t K e y > < K e y > T a b l e s \ P l a n   D a t a \ C o l u m n s \ P l a n   B u d g e t < / K e y > < / D i a g r a m O b j e c t K e y > < D i a g r a m O b j e c t K e y > < K e y > T a b l e s \ P l a n   D a t a \ C o l u m n s \ P e r c e n t < / K e y > < / D i a g r a m O b j e c t K e y > < D i a g r a m O b j e c t K e y > < K e y > T a b l e s \ P l a n   D a t a \ M e a s u r e s \ S u m   o f   P l a n   B u d g e t < / K e y > < / D i a g r a m O b j e c t K e y > < D i a g r a m O b j e c t K e y > < K e y > T a b l e s \ P l a n   D a t a \ S u m   o f   P l a n   B u d g e t \ A d d i t i o n a l   I n f o \ I m p l i c i t   M e a s u r e < / K e y > < / D i a g r a m O b j e c t K e y > < D i a g r a m O b j e c t K e y > < K e y > T a b l e s \ P l a n   D a t a \ M e a s u r e s \ S u m   o f   P l a n   I n c o m e < / K e y > < / D i a g r a m O b j e c t K e y > < D i a g r a m O b j e c t K e y > < K e y > T a b l e s \ P l a n   D a t a \ S u m   o f   P l a n   I n c o m e \ A d d i t i o n a l   I n f o \ I m p l i c i t   M e a s u r e < / K e y > < / D i a g r a m O b j e c t K e y > < D i a g r a m O b j e c t K e y > < K e y > T a b l e s \ D a t a < / K e y > < / D i a g r a m O b j e c t K e y > < D i a g r a m O b j e c t K e y > < K e y > T a b l e s \ D a t a \ C o l u m n s \ Y e a r < / K e y > < / D i a g r a m O b j e c t K e y > < D i a g r a m O b j e c t K e y > < K e y > T a b l e s \ D a t a \ C o l u m n s \ M o n t h < / K e y > < / D i a g r a m O b j e c t K e y > < D i a g r a m O b j e c t K e y > < K e y > T a b l e s \ D a t a \ C o l u m n s \ D a t e < / K e y > < / D i a g r a m O b j e c t K e y > < D i a g r a m O b j e c t K e y > < K e y > T a b l e s \ D a t a \ C o l u m n s \ E x p e n s e s < / K e y > < / D i a g r a m O b j e c t K e y > < D i a g r a m O b j e c t K e y > < K e y > T a b l e s \ D a t a \ C o l u m n s \ C a t e g o r y < / K e y > < / D i a g r a m O b j e c t K e y > < D i a g r a m O b j e c t K e y > < K e y > T a b l e s \ D a t a \ C o l u m n s \ S u b - C a t e g o r y < / K e y > < / D i a g r a m O b j e c t K e y > < D i a g r a m O b j e c t K e y > < K e y > T a b l e s \ D a t a \ C o l u m n s \ A c t u a l   B u d g e t < / K e y > < / D i a g r a m O b j e c t K e y > < D i a g r a m O b j e c t K e y > < K e y > T a b l e s \ D a t a \ C o l u m n s \ A c t u a l   I n c o m e < / K e y > < / D i a g r a m O b j e c t K e y > < D i a g r a m O b j e c t K e y > < K e y > T a b l e s \ D a t a \ C o l u m n s \ B a l a n c e < / K e y > < / D i a g r a m O b j e c t K e y > < D i a g r a m O b j e c t K e y > < K e y > T a b l e s \ D a t a \ C o l u m n s \ D a t e   ( Y e a r ) < / K e y > < / D i a g r a m O b j e c t K e y > < D i a g r a m O b j e c t K e y > < K e y > T a b l e s \ D a t a \ C o l u m n s \ D a t e   ( Q u a r t e r ) < / K e y > < / D i a g r a m O b j e c t K e y > < D i a g r a m O b j e c t K e y > < K e y > T a b l e s \ D a t a \ C o l u m n s \ D a t e   ( M o n t h   I n d e x ) < / K e y > < / D i a g r a m O b j e c t K e y > < D i a g r a m O b j e c t K e y > < K e y > T a b l e s \ D a t a \ C o l u m n s \ D a t e   ( M o n t h ) < / K e y > < / D i a g r a m O b j e c t K e y > < D i a g r a m O b j e c t K e y > < K e y > T a b l e s \ D a t a \ M e a s u r e s \ S u m   o f   B a l a n c e < / K e y > < / D i a g r a m O b j e c t K e y > < D i a g r a m O b j e c t K e y > < K e y > T a b l e s \ D a t a \ S u m   o f   B a l a n c e \ A d d i t i o n a l   I n f o \ I m p l i c i t   M e a s u r e < / K e y > < / D i a g r a m O b j e c t K e y > < D i a g r a m O b j e c t K e y > < K e y > T a b l e s \ D a t a \ M e a s u r e s \ C o u n t   o f   E x p e n s e s < / K e y > < / D i a g r a m O b j e c t K e y > < D i a g r a m O b j e c t K e y > < K e y > T a b l e s \ D a t a \ C o u n t   o f   E x p e n s e s \ A d d i t i o n a l   I n f o \ I m p l i c i t   M e a s u r e < / K e y > < / D i a g r a m O b j e c t K e y > < D i a g r a m O b j e c t K e y > < K e y > T a b l e s \ D a t a \ M e a s u r e s \ S u m   o f   A c t u a l   B u d g e t < / K e y > < / D i a g r a m O b j e c t K e y > < D i a g r a m O b j e c t K e y > < K e y > T a b l e s \ D a t a \ S u m   o f   A c t u a l   B u d g e t \ A d d i t i o n a l   I n f o \ I m p l i c i t   M e a s u r e < / K e y > < / D i a g r a m O b j e c t K e y > < D i a g r a m O b j e c t K e y > < K e y > T a b l e s \ D a t a \ M e a s u r e s \ S u m   o f   A c t u a l   I n c o m e < / K e y > < / D i a g r a m O b j e c t K e y > < D i a g r a m O b j e c t K e y > < K e y > T a b l e s \ D a t a \ S u m   o f   A c t u a l   I n c o m e \ A d d i t i o n a l   I n f o \ I m p l i c i t   M e a s u r e < / K e y > < / D i a g r a m O b j e c t K e y > < D i a g r a m O b j e c t K e y > < K e y > T a b l e s \ C a t e g o r y < / K e y > < / D i a g r a m O b j e c t K e y > < D i a g r a m O b j e c t K e y > < K e y > T a b l e s \ C a t e g o r y \ C o l u m n s \ O r d e r < / K e y > < / D i a g r a m O b j e c t K e y > < D i a g r a m O b j e c t K e y > < K e y > T a b l e s \ C a t e g o r y \ C o l u m n s \ C a t e g o r y < / K e y > < / D i a g r a m O b j e c t K e y > < D i a g r a m O b j e c t K e y > < K e y > T a b l e s \ S u b C a t e g o r y < / K e y > < / D i a g r a m O b j e c t K e y > < D i a g r a m O b j e c t K e y > < K e y > T a b l e s \ S u b C a t e g o r y \ C o l u m n s \ H o u s i n g < / K e y > < / D i a g r a m O b j e c t K e y > < D i a g r a m O b j e c t K e y > < K e y > T a b l e s \ S u b C a t e g o r y \ C o l u m n s \ E n t e r t a i n m e n t < / K e y > < / D i a g r a m O b j e c t K e y > < D i a g r a m O b j e c t K e y > < K e y > T a b l e s \ S u b C a t e g o r y \ C o l u m n s \ T r a n s p o r t a t i o n < / K e y > < / D i a g r a m O b j e c t K e y > < D i a g r a m O b j e c t K e y > < K e y > T a b l e s \ S u b C a t e g o r y \ C o l u m n s \ L o a n s < / K e y > < / D i a g r a m O b j e c t K e y > < D i a g r a m O b j e c t K e y > < K e y > T a b l e s \ S u b C a t e g o r y \ C o l u m n s \ I n s u r a n c e < / K e y > < / D i a g r a m O b j e c t K e y > < D i a g r a m O b j e c t K e y > < K e y > T a b l e s \ S u b C a t e g o r y \ C o l u m n s \ T a x e s < / K e y > < / D i a g r a m O b j e c t K e y > < D i a g r a m O b j e c t K e y > < K e y > T a b l e s \ S u b C a t e g o r y \ C o l u m n s \ F o o d < / K e y > < / D i a g r a m O b j e c t K e y > < D i a g r a m O b j e c t K e y > < K e y > T a b l e s \ S u b C a t e g o r y \ C o l u m n s \ S a v i n g s   o r   I n v e s t m e n t s < / K e y > < / D i a g r a m O b j e c t K e y > < D i a g r a m O b j e c t K e y > < K e y > T a b l e s \ S u b C a t e g o r y \ C o l u m n s \ P e t s < / K e y > < / D i a g r a m O b j e c t K e y > < D i a g r a m O b j e c t K e y > < K e y > T a b l e s \ S u b C a t e g o r y \ C o l u m n s \ G i f t s   a n d   D o n a t i o n s < / K e y > < / D i a g r a m O b j e c t K e y > < D i a g r a m O b j e c t K e y > < K e y > T a b l e s \ S u b C a t e g o r y \ C o l u m n s \ P e r s o n a l   C a r e < / K e y > < / D i a g r a m O b j e c t K e y > < D i a g r a m O b j e c t K e y > < K e y > T a b l e s \ S u b C a t e g o r y \ C o l u m n s \ L e g a l < / K e y > < / D i a g r a m O b j e c t K e y > < D i a g r a m O b j e c t K e y > < K e y > T a b l e s \ S u b C a t e g o r y \ C o l u m n s \ S h o p p i n g < / K e y > < / D i a g r a m O b j e c t K e y > < D i a g r a m O b j e c t K e y > < K e y > T a b l e s \ Y e a r < / K e y > < / D i a g r a m O b j e c t K e y > < D i a g r a m O b j e c t K e y > < K e y > T a b l e s \ Y e a r \ C o l u m n s \ Y e a r < / K e y > < / D i a g r a m O b j e c t K e y > < D i a g r a m O b j e c t K e y > < K e y > T a b l e s \ M o n t h < / K e y > < / D i a g r a m O b j e c t K e y > < D i a g r a m O b j e c t K e y > < K e y > T a b l e s \ M o n t h \ C o l u m n s \ M o n t h < / K e y > < / D i a g r a m O b j e c t K e y > < D i a g r a m O b j e c t K e y > < K e y > R e l a t i o n s h i p s \ & l t ; T a b l e s \ P l a n   D a t a \ C o l u m n s \ C a t e g o r y & g t ; - & l t ; T a b l e s \ C a t e g o r y \ C o l u m n s \ C a t e g o r y & g t ; < / K e y > < / D i a g r a m O b j e c t K e y > < D i a g r a m O b j e c t K e y > < K e y > R e l a t i o n s h i p s \ & l t ; T a b l e s \ P l a n   D a t a \ C o l u m n s \ C a t e g o r y & g t ; - & l t ; T a b l e s \ C a t e g o r y \ C o l u m n s \ C a t e g o r y & g t ; \ F K < / K e y > < / D i a g r a m O b j e c t K e y > < D i a g r a m O b j e c t K e y > < K e y > R e l a t i o n s h i p s \ & l t ; T a b l e s \ P l a n   D a t a \ C o l u m n s \ C a t e g o r y & g t ; - & l t ; T a b l e s \ C a t e g o r y \ C o l u m n s \ C a t e g o r y & g t ; \ P K < / K e y > < / D i a g r a m O b j e c t K e y > < D i a g r a m O b j e c t K e y > < K e y > R e l a t i o n s h i p s \ & l t ; T a b l e s \ P l a n   D a t a \ C o l u m n s \ C a t e g o r y & g t ; - & l t ; T a b l e s \ C a t e g o r y \ C o l u m n s \ C a t e g o r y & g t ; \ C r o s s F i l t e r < / K e y > < / D i a g r a m O b j e c t K e y > < D i a g r a m O b j e c t K e y > < K e y > R e l a t i o n s h i p s \ & l t ; T a b l e s \ P l a n   D a t a \ C o l u m n s \ M o n t h & g t ; - & l t ; T a b l e s \ M o n t h \ C o l u m n s \ M o n t h & g t ; < / K e y > < / D i a g r a m O b j e c t K e y > < D i a g r a m O b j e c t K e y > < K e y > R e l a t i o n s h i p s \ & l t ; T a b l e s \ P l a n   D a t a \ C o l u m n s \ M o n t h & g t ; - & l t ; T a b l e s \ M o n t h \ C o l u m n s \ M o n t h & g t ; \ F K < / K e y > < / D i a g r a m O b j e c t K e y > < D i a g r a m O b j e c t K e y > < K e y > R e l a t i o n s h i p s \ & l t ; T a b l e s \ P l a n   D a t a \ C o l u m n s \ M o n t h & g t ; - & l t ; T a b l e s \ M o n t h \ C o l u m n s \ M o n t h & g t ; \ P K < / K e y > < / D i a g r a m O b j e c t K e y > < D i a g r a m O b j e c t K e y > < K e y > R e l a t i o n s h i p s \ & l t ; T a b l e s \ P l a n   D a t a \ C o l u m n s \ M o n t h & g t ; - & l t ; T a b l e s \ M o n t h \ C o l u m n s \ M o n t h & g t ; \ C r o s s F i l t e r < / K e y > < / D i a g r a m O b j e c t K e y > < D i a g r a m O b j e c t K e y > < K e y > R e l a t i o n s h i p s \ & l t ; T a b l e s \ P l a n   D a t a \ C o l u m n s \ Y e a r & g t ; - & l t ; T a b l e s \ Y e a r \ C o l u m n s \ Y e a r & g t ; < / K e y > < / D i a g r a m O b j e c t K e y > < D i a g r a m O b j e c t K e y > < K e y > R e l a t i o n s h i p s \ & l t ; T a b l e s \ P l a n   D a t a \ C o l u m n s \ Y e a r & g t ; - & l t ; T a b l e s \ Y e a r \ C o l u m n s \ Y e a r & g t ; \ F K < / K e y > < / D i a g r a m O b j e c t K e y > < D i a g r a m O b j e c t K e y > < K e y > R e l a t i o n s h i p s \ & l t ; T a b l e s \ P l a n   D a t a \ C o l u m n s \ Y e a r & g t ; - & l t ; T a b l e s \ Y e a r \ C o l u m n s \ Y e a r & g t ; \ P K < / K e y > < / D i a g r a m O b j e c t K e y > < D i a g r a m O b j e c t K e y > < K e y > R e l a t i o n s h i p s \ & l t ; T a b l e s \ P l a n   D a t a \ C o l u m n s \ Y e a r & g t ; - & l t ; T a b l e s \ Y e a r \ C o l u m n s \ Y e a r & g t ; \ C r o s s F i l t e r < / K e y > < / D i a g r a m O b j e c t K e y > < D i a g r a m O b j e c t K e y > < K e y > R e l a t i o n s h i p s \ & l t ; T a b l e s \ P l a n   D a t a \ C o l u m n s \ M o n t h & g t ; - & l t ; T a b l e s \ Y e a r \ C o l u m n s \ Y e a r & g t ; < / K e y > < / D i a g r a m O b j e c t K e y > < D i a g r a m O b j e c t K e y > < K e y > R e l a t i o n s h i p s \ & l t ; T a b l e s \ P l a n   D a t a \ C o l u m n s \ M o n t h & g t ; - & l t ; T a b l e s \ Y e a r \ C o l u m n s \ Y e a r & g t ; \ F K < / K e y > < / D i a g r a m O b j e c t K e y > < D i a g r a m O b j e c t K e y > < K e y > R e l a t i o n s h i p s \ & l t ; T a b l e s \ P l a n   D a t a \ C o l u m n s \ M o n t h & g t ; - & l t ; T a b l e s \ Y e a r \ C o l u m n s \ Y e a r & g t ; \ P K < / K e y > < / D i a g r a m O b j e c t K e y > < D i a g r a m O b j e c t K e y > < K e y > R e l a t i o n s h i p s \ & l t ; T a b l e s \ P l a n   D a t a \ C o l u m n s \ M o n t h & g t ; - & l t ; T a b l e s \ Y e a r \ C o l u m n s \ Y e a r & g t ; \ C r o s s F i l t e r < / K e y > < / D i a g r a m O b j e c t K e y > < D i a g r a m O b j e c t K e y > < K e y > R e l a t i o n s h i p s \ & l t ; T a b l e s \ P l a n   D a t a \ C o l u m n s \ Y e a r & g t ; - & l t ; T a b l e s \ M o n t h \ C o l u m n s \ M o n t h & g t ; < / K e y > < / D i a g r a m O b j e c t K e y > < D i a g r a m O b j e c t K e y > < K e y > R e l a t i o n s h i p s \ & l t ; T a b l e s \ P l a n   D a t a \ C o l u m n s \ Y e a r & g t ; - & l t ; T a b l e s \ M o n t h \ C o l u m n s \ M o n t h & g t ; \ F K < / K e y > < / D i a g r a m O b j e c t K e y > < D i a g r a m O b j e c t K e y > < K e y > R e l a t i o n s h i p s \ & l t ; T a b l e s \ P l a n   D a t a \ C o l u m n s \ Y e a r & g t ; - & l t ; T a b l e s \ M o n t h \ C o l u m n s \ M o n t h & g t ; \ P K < / K e y > < / D i a g r a m O b j e c t K e y > < D i a g r a m O b j e c t K e y > < K e y > R e l a t i o n s h i p s \ & l t ; T a b l e s \ P l a n   D a t a \ C o l u m n s \ Y e a r & g t ; - & l t ; T a b l e s \ M o n t h \ C o l u m n s \ M o n t h & g t ; \ C r o s s F i l t e r < / K e y > < / D i a g r a m O b j e c t K e y > < D i a g r a m O b j e c t K e y > < K e y > R e l a t i o n s h i p s \ & l t ; T a b l e s \ D a t a \ C o l u m n s \ C a t e g o r y & g t ; - & l t ; T a b l e s \ C a t e g o r y \ C o l u m n s \ C a t e g o r y & g t ; < / K e y > < / D i a g r a m O b j e c t K e y > < D i a g r a m O b j e c t K e y > < K e y > R e l a t i o n s h i p s \ & l t ; T a b l e s \ D a t a \ C o l u m n s \ C a t e g o r y & g t ; - & l t ; T a b l e s \ C a t e g o r y \ C o l u m n s \ C a t e g o r y & g t ; \ F K < / K e y > < / D i a g r a m O b j e c t K e y > < D i a g r a m O b j e c t K e y > < K e y > R e l a t i o n s h i p s \ & l t ; T a b l e s \ D a t a \ C o l u m n s \ C a t e g o r y & g t ; - & l t ; T a b l e s \ C a t e g o r y \ C o l u m n s \ C a t e g o r y & g t ; \ P K < / K e y > < / D i a g r a m O b j e c t K e y > < D i a g r a m O b j e c t K e y > < K e y > R e l a t i o n s h i p s \ & l t ; T a b l e s \ D a t a \ C o l u m n s \ C a t e g o r y & g t ; - & l t ; T a b l e s \ C a t e g o r y \ C o l u m n s \ C a t e g o r y & g t ; \ C r o s s F i l t e r < / K e y > < / D i a g r a m O b j e c t K e y > < D i a g r a m O b j e c t K e y > < K e y > R e l a t i o n s h i p s \ & l t ; T a b l e s \ D a t a \ C o l u m n s \ Y e a r & g t ; - & l t ; T a b l e s \ Y e a r \ C o l u m n s \ Y e a r & g t ; < / K e y > < / D i a g r a m O b j e c t K e y > < D i a g r a m O b j e c t K e y > < K e y > R e l a t i o n s h i p s \ & l t ; T a b l e s \ D a t a \ C o l u m n s \ Y e a r & g t ; - & l t ; T a b l e s \ Y e a r \ C o l u m n s \ Y e a r & g t ; \ F K < / K e y > < / D i a g r a m O b j e c t K e y > < D i a g r a m O b j e c t K e y > < K e y > R e l a t i o n s h i p s \ & l t ; T a b l e s \ D a t a \ C o l u m n s \ Y e a r & g t ; - & l t ; T a b l e s \ Y e a r \ C o l u m n s \ Y e a r & g t ; \ P K < / K e y > < / D i a g r a m O b j e c t K e y > < D i a g r a m O b j e c t K e y > < K e y > R e l a t i o n s h i p s \ & l t ; T a b l e s \ D a t a \ C o l u m n s \ Y e a r & g t ; - & l t ; T a b l e s \ Y e a r \ C o l u m n s \ Y e a r & g t ; \ C r o s s F i l t e r < / K e y > < / D i a g r a m O b j e c t K e y > < D i a g r a m O b j e c t K e y > < K e y > R e l a t i o n s h i p s \ & l t ; T a b l e s \ D a t a \ C o l u m n s \ M o n t h & g t ; - & l t ; T a b l e s \ M o n t h \ C o l u m n s \ M o n t h & g t ; < / K e y > < / D i a g r a m O b j e c t K e y > < D i a g r a m O b j e c t K e y > < K e y > R e l a t i o n s h i p s \ & l t ; T a b l e s \ D a t a \ C o l u m n s \ M o n t h & g t ; - & l t ; T a b l e s \ M o n t h \ C o l u m n s \ M o n t h & g t ; \ F K < / K e y > < / D i a g r a m O b j e c t K e y > < D i a g r a m O b j e c t K e y > < K e y > R e l a t i o n s h i p s \ & l t ; T a b l e s \ D a t a \ C o l u m n s \ M o n t h & g t ; - & l t ; T a b l e s \ M o n t h \ C o l u m n s \ M o n t h & g t ; \ P K < / K e y > < / D i a g r a m O b j e c t K e y > < D i a g r a m O b j e c t K e y > < K e y > R e l a t i o n s h i p s \ & l t ; T a b l e s \ D a t a \ C o l u m n s \ M o n t h & g t ; - & l t ; T a b l e s \ M o n t h \ C o l u m n s \ M o n t h & g t ; \ C r o s s F i l t e r < / K e y > < / D i a g r a m O b j e c t K e y > < D i a g r a m O b j e c t K e y > < K e y > R e l a t i o n s h i p s \ & l t ; T a b l e s \ D a t a \ C o l u m n s \ D a t e   ( M o n t h ) & g t ; - & l t ; T a b l e s \ M o n t h \ C o l u m n s \ M o n t h & g t ; < / K e y > < / D i a g r a m O b j e c t K e y > < D i a g r a m O b j e c t K e y > < K e y > R e l a t i o n s h i p s \ & l t ; T a b l e s \ D a t a \ C o l u m n s \ D a t e   ( M o n t h ) & g t ; - & l t ; T a b l e s \ M o n t h \ C o l u m n s \ M o n t h & g t ; \ F K < / K e y > < / D i a g r a m O b j e c t K e y > < D i a g r a m O b j e c t K e y > < K e y > R e l a t i o n s h i p s \ & l t ; T a b l e s \ D a t a \ C o l u m n s \ D a t e   ( M o n t h ) & g t ; - & l t ; T a b l e s \ M o n t h \ C o l u m n s \ M o n t h & g t ; \ P K < / K e y > < / D i a g r a m O b j e c t K e y > < D i a g r a m O b j e c t K e y > < K e y > R e l a t i o n s h i p s \ & l t ; T a b l e s \ D a t a \ C o l u m n s \ D a t e   ( M o n t h ) & g t ; - & l t ; T a b l e s \ M o n t h \ C o l u m n s \ M o n t h & g t ; \ C r o s s F i l t e r < / K e y > < / D i a g r a m O b j e c t K e y > < D i a g r a m O b j e c t K e y > < K e y > R e l a t i o n s h i p s \ & l t ; T a b l e s \ D a t a \ C o l u m n s \ D a t e   ( Y e a r ) & g t ; - & l t ; T a b l e s \ Y e a r \ C o l u m n s \ Y e a r & g t ; < / K e y > < / D i a g r a m O b j e c t K e y > < D i a g r a m O b j e c t K e y > < K e y > R e l a t i o n s h i p s \ & l t ; T a b l e s \ D a t a \ C o l u m n s \ D a t e   ( Y e a r ) & g t ; - & l t ; T a b l e s \ Y e a r \ C o l u m n s \ Y e a r & g t ; \ F K < / K e y > < / D i a g r a m O b j e c t K e y > < D i a g r a m O b j e c t K e y > < K e y > R e l a t i o n s h i p s \ & l t ; T a b l e s \ D a t a \ C o l u m n s \ D a t e   ( Y e a r ) & g t ; - & l t ; T a b l e s \ Y e a r \ C o l u m n s \ Y e a r & g t ; \ P K < / K e y > < / D i a g r a m O b j e c t K e y > < D i a g r a m O b j e c t K e y > < K e y > R e l a t i o n s h i p s \ & l t ; T a b l e s \ D a t a \ C o l u m n s \ D a t e   ( Y e a r ) & g t ; - & l t ; T a b l e s \ Y e a r \ C o l u m n s \ Y e a r & g t ; \ C r o s s F i l t e r < / K e y > < / D i a g r a m O b j e c t K e y > < D i a g r a m O b j e c t K e y > < K e y > R e l a t i o n s h i p s \ & l t ; T a b l e s \ D a t a \ C o l u m n s \ D a t e   ( Q u a r t e r ) & g t ; - & l t ; T a b l e s \ M o n t h \ C o l u m n s \ M o n t h & g t ; < / K e y > < / D i a g r a m O b j e c t K e y > < D i a g r a m O b j e c t K e y > < K e y > R e l a t i o n s h i p s \ & l t ; T a b l e s \ D a t a \ C o l u m n s \ D a t e   ( Q u a r t e r ) & g t ; - & l t ; T a b l e s \ M o n t h \ C o l u m n s \ M o n t h & g t ; \ F K < / K e y > < / D i a g r a m O b j e c t K e y > < D i a g r a m O b j e c t K e y > < K e y > R e l a t i o n s h i p s \ & l t ; T a b l e s \ D a t a \ C o l u m n s \ D a t e   ( Q u a r t e r ) & g t ; - & l t ; T a b l e s \ M o n t h \ C o l u m n s \ M o n t h & g t ; \ P K < / K e y > < / D i a g r a m O b j e c t K e y > < D i a g r a m O b j e c t K e y > < K e y > R e l a t i o n s h i p s \ & l t ; T a b l e s \ D a t a \ C o l u m n s \ D a t e   ( Q u a r t e r ) & g t ; - & l t ; T a b l e s \ M o n t h \ C o l u m n s \ M o n t h & g t ; \ C r o s s F i l t e r < / K e y > < / D i a g r a m O b j e c t K e y > < D i a g r a m O b j e c t K e y > < K e y > R e l a t i o n s h i p s \ & l t ; T a b l e s \ D a t a \ C o l u m n s \ D a t e   ( Q u a r t e r ) & g t ; - & l t ; T a b l e s \ Y e a r \ C o l u m n s \ Y e a r & g t ; < / K e y > < / D i a g r a m O b j e c t K e y > < D i a g r a m O b j e c t K e y > < K e y > R e l a t i o n s h i p s \ & l t ; T a b l e s \ D a t a \ C o l u m n s \ D a t e   ( Q u a r t e r ) & g t ; - & l t ; T a b l e s \ Y e a r \ C o l u m n s \ Y e a r & g t ; \ F K < / K e y > < / D i a g r a m O b j e c t K e y > < D i a g r a m O b j e c t K e y > < K e y > R e l a t i o n s h i p s \ & l t ; T a b l e s \ D a t a \ C o l u m n s \ D a t e   ( Q u a r t e r ) & g t ; - & l t ; T a b l e s \ Y e a r \ C o l u m n s \ Y e a r & g t ; \ P K < / K e y > < / D i a g r a m O b j e c t K e y > < D i a g r a m O b j e c t K e y > < K e y > R e l a t i o n s h i p s \ & l t ; T a b l e s \ D a t a \ C o l u m n s \ D a t e   ( Q u a r t e r ) & g t ; - & l t ; T a b l e s \ Y e a r \ C o l u m n s \ Y e a r & g t ; \ C r o s s F i l t e r < / K e y > < / D i a g r a m O b j e c t K e y > < D i a g r a m O b j e c t K e y > < K e y > R e l a t i o n s h i p s \ & l t ; T a b l e s \ D a t a \ C o l u m n s \ D a t e & g t ; - & l t ; T a b l e s \ M o n t h \ C o l u m n s \ M o n t h & g t ; < / K e y > < / D i a g r a m O b j e c t K e y > < D i a g r a m O b j e c t K e y > < K e y > R e l a t i o n s h i p s \ & l t ; T a b l e s \ D a t a \ C o l u m n s \ D a t e & g t ; - & l t ; T a b l e s \ M o n t h \ C o l u m n s \ M o n t h & g t ; \ F K < / K e y > < / D i a g r a m O b j e c t K e y > < D i a g r a m O b j e c t K e y > < K e y > R e l a t i o n s h i p s \ & l t ; T a b l e s \ D a t a \ C o l u m n s \ D a t e & g t ; - & l t ; T a b l e s \ M o n t h \ C o l u m n s \ M o n t h & g t ; \ P K < / K e y > < / D i a g r a m O b j e c t K e y > < D i a g r a m O b j e c t K e y > < K e y > R e l a t i o n s h i p s \ & l t ; T a b l e s \ D a t a \ C o l u m n s \ D a t e & g t ; - & l t ; T a b l e s \ M o n t h \ C o l u m n s \ M o n t h & g t ; \ C r o s s F i l t e r < / K e y > < / D i a g r a m O b j e c t K e y > < D i a g r a m O b j e c t K e y > < K e y > R e l a t i o n s h i p s \ & l t ; T a b l e s \ D a t a \ C o l u m n s \ D a t e & g t ; - & l t ; T a b l e s \ Y e a r \ C o l u m n s \ Y e a r & g t ; < / K e y > < / D i a g r a m O b j e c t K e y > < D i a g r a m O b j e c t K e y > < K e y > R e l a t i o n s h i p s \ & l t ; T a b l e s \ D a t a \ C o l u m n s \ D a t e & g t ; - & l t ; T a b l e s \ Y e a r \ C o l u m n s \ Y e a r & g t ; \ F K < / K e y > < / D i a g r a m O b j e c t K e y > < D i a g r a m O b j e c t K e y > < K e y > R e l a t i o n s h i p s \ & l t ; T a b l e s \ D a t a \ C o l u m n s \ D a t e & g t ; - & l t ; T a b l e s \ Y e a r \ C o l u m n s \ Y e a r & g t ; \ P K < / K e y > < / D i a g r a m O b j e c t K e y > < D i a g r a m O b j e c t K e y > < K e y > R e l a t i o n s h i p s \ & l t ; T a b l e s \ D a t a \ C o l u m n s \ D a t e & g t ; - & l t ; T a b l e s \ Y e a r \ C o l u m n s \ Y e a r & g t ; \ C r o s s F i l t e r < / K e y > < / D i a g r a m O b j e c t K e y > < D i a g r a m O b j e c t K e y > < K e y > R e l a t i o n s h i p s \ & l t ; T a b l e s \ D a t a \ C o l u m n s \ D a t e   ( Y e a r ) & g t ; - & l t ; T a b l e s \ M o n t h \ C o l u m n s \ M o n t h & g t ; < / K e y > < / D i a g r a m O b j e c t K e y > < D i a g r a m O b j e c t K e y > < K e y > R e l a t i o n s h i p s \ & l t ; T a b l e s \ D a t a \ C o l u m n s \ D a t e   ( Y e a r ) & g t ; - & l t ; T a b l e s \ M o n t h \ C o l u m n s \ M o n t h & g t ; \ F K < / K e y > < / D i a g r a m O b j e c t K e y > < D i a g r a m O b j e c t K e y > < K e y > R e l a t i o n s h i p s \ & l t ; T a b l e s \ D a t a \ C o l u m n s \ D a t e   ( Y e a r ) & g t ; - & l t ; T a b l e s \ M o n t h \ C o l u m n s \ M o n t h & g t ; \ P K < / K e y > < / D i a g r a m O b j e c t K e y > < D i a g r a m O b j e c t K e y > < K e y > R e l a t i o n s h i p s \ & l t ; T a b l e s \ D a t a \ C o l u m n s \ D a t e   ( Y e a r ) & g t ; - & l t ; T a b l e s \ M o n t h \ C o l u m n s \ M o n t h & g t ; \ C r o s s F i l t e r < / K e y > < / D i a g r a m O b j e c t K e y > < D i a g r a m O b j e c t K e y > < K e y > R e l a t i o n s h i p s \ & l t ; T a b l e s \ D a t a \ C o l u m n s \ D a t e   ( M o n t h ) & g t ; - & l t ; T a b l e s \ Y e a r \ C o l u m n s \ Y e a r & g t ; < / K e y > < / D i a g r a m O b j e c t K e y > < D i a g r a m O b j e c t K e y > < K e y > R e l a t i o n s h i p s \ & l t ; T a b l e s \ D a t a \ C o l u m n s \ D a t e   ( M o n t h ) & g t ; - & l t ; T a b l e s \ Y e a r \ C o l u m n s \ Y e a r & g t ; \ F K < / K e y > < / D i a g r a m O b j e c t K e y > < D i a g r a m O b j e c t K e y > < K e y > R e l a t i o n s h i p s \ & l t ; T a b l e s \ D a t a \ C o l u m n s \ D a t e   ( M o n t h ) & g t ; - & l t ; T a b l e s \ Y e a r \ C o l u m n s \ Y e a r & g t ; \ P K < / K e y > < / D i a g r a m O b j e c t K e y > < D i a g r a m O b j e c t K e y > < K e y > R e l a t i o n s h i p s \ & l t ; T a b l e s \ D a t a \ C o l u m n s \ D a t e   ( M o n t h ) & g t ; - & l t ; T a b l e s \ Y e a r \ C o l u m n s \ Y e a r & g t ; \ C r o s s F i l t e r < / K e y > < / D i a g r a m O b j e c t K e y > < / A l l K e y s > < S e l e c t e d K e y s > < D i a g r a m O b j e c t K e y > < K e y > T a b l e s \ M o n t h 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 T a g s \ T a b l e s \ & l t ; T a b l e s \ P l a n   D a t a & g t ; 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 T a g s \ T a b l e s \ & l t ; T a b l e s \ S u b C a t e g o r y & g t ; 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 T a g s \ T a b l e s \ & l t ; T a b l e s \ M o n t h & g t ; < / K e y > < / a : K e y > < a : V a l u e   i : t y p e = " D i a g r a m D i s p l a y T a g V i e w S t a t e " > < I s N o t F i l t e r e d O u t > t r u e < / I s N o t F i l t e r e d O u t > < / a : V a l u e > < / a : K e y V a l u e O f D i a g r a m O b j e c t K e y a n y T y p e z b w N T n L X > < a : K e y V a l u e O f D i a g r a m O b j e c t K e y a n y T y p e z b w N T n L X > < a : K e y > < K e y > T a b l e s \ P l a n   D a t a < / K e y > < / a : K e y > < a : V a l u e   i : t y p e = " D i a g r a m D i s p l a y N o d e V i e w S t a t e " > < H e i g h t > 2 2 8 . 3 9 9 9 9 9 9 9 9 9 9 9 9 8 < / H e i g h t > < I s E x p a n d e d > t r u e < / I s E x p a n d e d > < L a y e d O u t > t r u e < / L a y e d O u t > < L e f t > 3 0 1 . 2 0 0 0 0 0 0 0 0 0 0 0 1 6 < / L e f t > < T a b I n d e x > 4 < / T a b I n d e x > < T o p > 3 3 2 . 7 1 2 4 5 9 0 5 0 6 9 8 9 < / T o p > < W i d t h > 2 0 0 < / W i d t h > < / a : V a l u e > < / a : K e y V a l u e O f D i a g r a m O b j e c t K e y a n y T y p e z b w N T n L X > < a : K e y V a l u e O f D i a g r a m O b j e c t K e y a n y T y p e z b w N T n L X > < a : K e y > < K e y > T a b l e s \ P l a n   D a t a \ C o l u m n s \ Y e a r < / K e y > < / a : K e y > < a : V a l u e   i : t y p e = " D i a g r a m D i s p l a y N o d e V i e w S t a t e " > < H e i g h t > 1 5 0 < / H e i g h t > < I s E x p a n d e d > t r u e < / I s E x p a n d e d > < W i d t h > 2 0 0 < / W i d t h > < / a : V a l u e > < / a : K e y V a l u e O f D i a g r a m O b j e c t K e y a n y T y p e z b w N T n L X > < a : K e y V a l u e O f D i a g r a m O b j e c t K e y a n y T y p e z b w N T n L X > < a : K e y > < K e y > T a b l e s \ P l a n   D a t a \ C o l u m n s \ M o n t h < / K e y > < / a : K e y > < a : V a l u e   i : t y p e = " D i a g r a m D i s p l a y N o d e V i e w S t a t e " > < H e i g h t > 1 5 0 < / H e i g h t > < I s E x p a n d e d > t r u e < / I s E x p a n d e d > < W i d t h > 2 0 0 < / W i d t h > < / a : V a l u e > < / a : K e y V a l u e O f D i a g r a m O b j e c t K e y a n y T y p e z b w N T n L X > < a : K e y V a l u e O f D i a g r a m O b j e c t K e y a n y T y p e z b w N T n L X > < a : K e y > < K e y > T a b l e s \ P l a n   D a t a \ C o l u m n s \ C a t e g o r y < / K e y > < / a : K e y > < a : V a l u e   i : t y p e = " D i a g r a m D i s p l a y N o d e V i e w S t a t e " > < H e i g h t > 1 5 0 < / H e i g h t > < I s E x p a n d e d > t r u e < / I s E x p a n d e d > < W i d t h > 2 0 0 < / W i d t h > < / a : V a l u e > < / a : K e y V a l u e O f D i a g r a m O b j e c t K e y a n y T y p e z b w N T n L X > < a : K e y V a l u e O f D i a g r a m O b j e c t K e y a n y T y p e z b w N T n L X > < a : K e y > < K e y > T a b l e s \ P l a n   D a t a \ C o l u m n s \ P l a n   I n c o m e < / K e y > < / a : K e y > < a : V a l u e   i : t y p e = " D i a g r a m D i s p l a y N o d e V i e w S t a t e " > < H e i g h t > 1 5 0 < / H e i g h t > < I s E x p a n d e d > t r u e < / I s E x p a n d e d > < W i d t h > 2 0 0 < / W i d t h > < / a : V a l u e > < / a : K e y V a l u e O f D i a g r a m O b j e c t K e y a n y T y p e z b w N T n L X > < a : K e y V a l u e O f D i a g r a m O b j e c t K e y a n y T y p e z b w N T n L X > < a : K e y > < K e y > T a b l e s \ P l a n   D a t a \ C o l u m n s \ P l a n   B u d g e t < / K e y > < / a : K e y > < a : V a l u e   i : t y p e = " D i a g r a m D i s p l a y N o d e V i e w S t a t e " > < H e i g h t > 1 5 0 < / H e i g h t > < I s E x p a n d e d > t r u e < / I s E x p a n d e d > < W i d t h > 2 0 0 < / W i d t h > < / a : V a l u e > < / a : K e y V a l u e O f D i a g r a m O b j e c t K e y a n y T y p e z b w N T n L X > < a : K e y V a l u e O f D i a g r a m O b j e c t K e y a n y T y p e z b w N T n L X > < a : K e y > < K e y > T a b l e s \ P l a n   D a t a \ C o l u m n s \ P e r c e n t < / K e y > < / a : K e y > < a : V a l u e   i : t y p e = " D i a g r a m D i s p l a y N o d e V i e w S t a t e " > < H e i g h t > 1 5 0 < / H e i g h t > < I s E x p a n d e d > t r u e < / I s E x p a n d e d > < W i d t h > 2 0 0 < / W i d t h > < / a : V a l u e > < / a : K e y V a l u e O f D i a g r a m O b j e c t K e y a n y T y p e z b w N T n L X > < a : K e y V a l u e O f D i a g r a m O b j e c t K e y a n y T y p e z b w N T n L X > < a : K e y > < K e y > T a b l e s \ P l a n   D a t a \ M e a s u r e s \ S u m   o f   P l a n   B u d g e t < / K e y > < / a : K e y > < a : V a l u e   i : t y p e = " D i a g r a m D i s p l a y N o d e V i e w S t a t e " > < H e i g h t > 1 5 0 < / H e i g h t > < I s E x p a n d e d > t r u e < / I s E x p a n d e d > < W i d t h > 2 0 0 < / W i d t h > < / a : V a l u e > < / a : K e y V a l u e O f D i a g r a m O b j e c t K e y a n y T y p e z b w N T n L X > < a : K e y V a l u e O f D i a g r a m O b j e c t K e y a n y T y p e z b w N T n L X > < a : K e y > < K e y > T a b l e s \ P l a n   D a t a \ S u m   o f   P l a n   B u d g e t \ A d d i t i o n a l   I n f o \ I m p l i c i t   M e a s u r e < / K e y > < / a : K e y > < a : V a l u e   i : t y p e = " D i a g r a m D i s p l a y V i e w S t a t e I D i a g r a m T a g A d d i t i o n a l I n f o " / > < / a : K e y V a l u e O f D i a g r a m O b j e c t K e y a n y T y p e z b w N T n L X > < a : K e y V a l u e O f D i a g r a m O b j e c t K e y a n y T y p e z b w N T n L X > < a : K e y > < K e y > T a b l e s \ P l a n   D a t a \ M e a s u r e s \ S u m   o f   P l a n   I n c o m e < / K e y > < / a : K e y > < a : V a l u e   i : t y p e = " D i a g r a m D i s p l a y N o d e V i e w S t a t e " > < H e i g h t > 1 5 0 < / H e i g h t > < I s E x p a n d e d > t r u e < / I s E x p a n d e d > < W i d t h > 2 0 0 < / W i d t h > < / a : V a l u e > < / a : K e y V a l u e O f D i a g r a m O b j e c t K e y a n y T y p e z b w N T n L X > < a : K e y V a l u e O f D i a g r a m O b j e c t K e y a n y T y p e z b w N T n L X > < a : K e y > < K e y > T a b l e s \ P l a n   D a t a \ S u m   o f   P l a n   I n c o m e \ A d d i t i o n a l   I n f o \ I m p l i c i t   M e a s u r e < / K e y > < / a : K e y > < a : V a l u e   i : t y p e = " D i a g r a m D i s p l a y V i e w S t a t e I D i a g r a m T a g A d d i t i o n a l I n f o " / > < / a : K e y V a l u e O f D i a g r a m O b j e c t K e y a n y T y p e z b w N T n L X > < a : K e y V a l u e O f D i a g r a m O b j e c t K e y a n y T y p e z b w N T n L X > < a : K e y > < K e y > T a b l e s \ D a t a < / K e y > < / a : K e y > < a : V a l u e   i : t y p e = " D i a g r a m D i s p l a y N o d e V i e w S t a t e " > < H e i g h t > 3 5 4 . 8 < / H e i g h t > < I s E x p a n d e d > t r u e < / I s E x p a n d e d > < L a y e d O u t > t r u e < / L a y e d O u t > < L e f t > 6 7 5 . 2 1 9 2 7 0 7 3 9 9 6 4 7 1 < / L e f t > < T a b I n d e x > 5 < / T a b I n d e x > < T o p > 2 5 6 . 2 4 4 8 1 5 4 0 8 4 9 6 8 3 < / T o p > < W i d t h > 3 4 2 . 4 < / 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 T a b l e s \ D a t a \ C o l u m n s \ E x p e n s e s < / K e y > < / a : K e y > < a : V a l u e   i : t y p e = " D i a g r a m D i s p l a y N o d e V i e w S t a t e " > < H e i g h t > 1 5 0 < / H e i g h t > < I s E x p a n d e d > t r u e < / I s E x p a n d e d > < W i d t h > 2 0 0 < / W i d t h > < / a : V a l u e > < / a : K e y V a l u e O f D i a g r a m O b j e c t K e y a n y T y p e z b w N T n L X > < a : K e y V a l u e O f D i a g r a m O b j e c t K e y a n y T y p e z b w N T n L X > < a : K e y > < K e y > T a b l e s \ D a t a \ C o l u m n s \ C a t e g o r y < / K e y > < / a : K e y > < a : V a l u e   i : t y p e = " D i a g r a m D i s p l a y N o d e V i e w S t a t e " > < H e i g h t > 1 5 0 < / H e i g h t > < I s E x p a n d e d > t r u e < / I s E x p a n d e d > < W i d t h > 2 0 0 < / W i d t h > < / a : V a l u e > < / a : K e y V a l u e O f D i a g r a m O b j e c t K e y a n y T y p e z b w N T n L X > < a : K e y V a l u e O f D i a g r a m O b j e c t K e y a n y T y p e z b w N T n L X > < a : K e y > < K e y > T a b l e s \ D a t a \ C o l u m n s \ S u b - C a t e g o r y < / K e y > < / a : K e y > < a : V a l u e   i : t y p e = " D i a g r a m D i s p l a y N o d e V i e w S t a t e " > < H e i g h t > 1 5 0 < / H e i g h t > < I s E x p a n d e d > t r u e < / I s E x p a n d e d > < W i d t h > 2 0 0 < / W i d t h > < / a : V a l u e > < / a : K e y V a l u e O f D i a g r a m O b j e c t K e y a n y T y p e z b w N T n L X > < a : K e y V a l u e O f D i a g r a m O b j e c t K e y a n y T y p e z b w N T n L X > < a : K e y > < K e y > T a b l e s \ D a t a \ C o l u m n s \ A c t u a l   B u d g e t < / K e y > < / a : K e y > < a : V a l u e   i : t y p e = " D i a g r a m D i s p l a y N o d e V i e w S t a t e " > < H e i g h t > 1 5 0 < / H e i g h t > < I s E x p a n d e d > t r u e < / I s E x p a n d e d > < W i d t h > 2 0 0 < / W i d t h > < / a : V a l u e > < / a : K e y V a l u e O f D i a g r a m O b j e c t K e y a n y T y p e z b w N T n L X > < a : K e y V a l u e O f D i a g r a m O b j e c t K e y a n y T y p e z b w N T n L X > < a : K e y > < K e y > T a b l e s \ D a t a \ C o l u m n s \ A c t u a l   I n c o m e < / K e y > < / a : K e y > < a : V a l u e   i : t y p e = " D i a g r a m D i s p l a y N o d e V i e w S t a t e " > < H e i g h t > 1 5 0 < / H e i g h t > < I s E x p a n d e d > t r u e < / I s E x p a n d e d > < W i d t h > 2 0 0 < / W i d t h > < / a : V a l u e > < / a : K e y V a l u e O f D i a g r a m O b j e c t K e y a n y T y p e z b w N T n L X > < a : K e y V a l u e O f D i a g r a m O b j e c t K e y a n y T y p e z b w N T n L X > < a : K e y > < K e y > T a b l e s \ D a t a \ C o l u m n s \ B a l a n c e < / K e y > < / a : K e y > < a : V a l u e   i : t y p e = " D i a g r a m D i s p l a y N o d e V i e w S t a t e " > < H e i g h t > 1 5 0 < / H e i g h t > < I s E x p a n d e d > t r u e < / I s E x p a n d e d > < W i d t h > 2 0 0 < / W i d t h > < / a : V a l u e > < / a : K e y V a l u e O f D i a g r a m O b j e c t K e y a n y T y p e z b w N T n L X > < a : K e y V a l u e O f D i a g r a m O b j e c t K e y a n y T y p e z b w N T n L X > < a : K e y > < K e y > T a b l e s \ D a t a \ C o l u m n s \ D a t e   ( Y e a r ) < / K e y > < / a : K e y > < a : V a l u e   i : t y p e = " D i a g r a m D i s p l a y N o d e V i e w S t a t e " > < H e i g h t > 1 5 0 < / H e i g h t > < I s E x p a n d e d > t r u e < / I s E x p a n d e d > < W i d t h > 2 0 0 < / W i d t h > < / a : V a l u e > < / a : K e y V a l u e O f D i a g r a m O b j e c t K e y a n y T y p e z b w N T n L X > < a : K e y V a l u e O f D i a g r a m O b j e c t K e y a n y T y p e z b w N T n L X > < a : K e y > < K e y > T a b l e s \ D a t a \ C o l u m n s \ D a t e   ( Q u a r t e r ) < / K e y > < / a : K e y > < a : V a l u e   i : t y p e = " D i a g r a m D i s p l a y N o d e V i e w S t a t e " > < H e i g h t > 1 5 0 < / H e i g h t > < I s E x p a n d e d > t r u e < / I s E x p a n d e d > < W i d t h > 2 0 0 < / W i d t h > < / a : V a l u e > < / a : K e y V a l u e O f D i a g r a m O b j e c t K e y a n y T y p e z b w N T n L X > < a : K e y V a l u e O f D i a g r a m O b j e c t K e y a n y T y p e z b w N T n L X > < a : K e y > < K e y > T a b l e s \ D a t a \ C o l u m n s \ D a t e   ( M o n t h   I n d e x ) < / K e y > < / a : K e y > < a : V a l u e   i : t y p e = " D i a g r a m D i s p l a y N o d e V i e w S t a t e " > < H e i g h t > 1 5 0 < / H e i g h t > < I s E x p a n d e d > t r u e < / I s E x p a n d e d > < W i d t h > 2 0 0 < / W i d t h > < / a : V a l u e > < / a : K e y V a l u e O f D i a g r a m O b j e c t K e y a n y T y p e z b w N T n L X > < a : K e y V a l u e O f D i a g r a m O b j e c t K e y a n y T y p e z b w N T n L X > < a : K e y > < K e y > T a b l e s \ D a t a \ C o l u m n s \ D a t e   ( M o n t h ) < / K e y > < / a : K e y > < a : V a l u e   i : t y p e = " D i a g r a m D i s p l a y N o d e V i e w S t a t e " > < H e i g h t > 1 5 0 < / H e i g h t > < I s E x p a n d e d > t r u e < / I s E x p a n d e d > < W i d t h > 2 0 0 < / W i d t h > < / a : V a l u e > < / a : K e y V a l u e O f D i a g r a m O b j e c t K e y a n y T y p e z b w N T n L X > < a : K e y V a l u e O f D i a g r a m O b j e c t K e y a n y T y p e z b w N T n L X > < a : K e y > < K e y > T a b l e s \ D a t a \ M e a s u r e s \ S u m   o f   B a l a n c e < / K e y > < / a : K e y > < a : V a l u e   i : t y p e = " D i a g r a m D i s p l a y N o d e V i e w S t a t e " > < H e i g h t > 1 5 0 < / H e i g h t > < I s E x p a n d e d > t r u e < / I s E x p a n d e d > < W i d t h > 2 0 0 < / W i d t h > < / a : V a l u e > < / a : K e y V a l u e O f D i a g r a m O b j e c t K e y a n y T y p e z b w N T n L X > < a : K e y V a l u e O f D i a g r a m O b j e c t K e y a n y T y p e z b w N T n L X > < a : K e y > < K e y > T a b l e s \ D a t a \ S u m   o f   B a l a n c e \ A d d i t i o n a l   I n f o \ I m p l i c i t   M e a s u r e < / K e y > < / a : K e y > < a : V a l u e   i : t y p e = " D i a g r a m D i s p l a y V i e w S t a t e I D i a g r a m T a g A d d i t i o n a l I n f o " / > < / a : K e y V a l u e O f D i a g r a m O b j e c t K e y a n y T y p e z b w N T n L X > < a : K e y V a l u e O f D i a g r a m O b j e c t K e y a n y T y p e z b w N T n L X > < a : K e y > < K e y > T a b l e s \ D a t a \ M e a s u r e s \ C o u n t   o f   E x p e n s e s < / K e y > < / a : K e y > < a : V a l u e   i : t y p e = " D i a g r a m D i s p l a y N o d e V i e w S t a t e " > < H e i g h t > 1 5 0 < / H e i g h t > < I s E x p a n d e d > t r u e < / I s E x p a n d e d > < W i d t h > 2 0 0 < / W i d t h > < / a : V a l u e > < / a : K e y V a l u e O f D i a g r a m O b j e c t K e y a n y T y p e z b w N T n L X > < a : K e y V a l u e O f D i a g r a m O b j e c t K e y a n y T y p e z b w N T n L X > < a : K e y > < K e y > T a b l e s \ D a t a \ C o u n t   o f   E x p e n s e s \ A d d i t i o n a l   I n f o \ I m p l i c i t   M e a s u r e < / K e y > < / a : K e y > < a : V a l u e   i : t y p e = " D i a g r a m D i s p l a y V i e w S t a t e I D i a g r a m T a g A d d i t i o n a l I n f o " / > < / a : K e y V a l u e O f D i a g r a m O b j e c t K e y a n y T y p e z b w N T n L X > < a : K e y V a l u e O f D i a g r a m O b j e c t K e y a n y T y p e z b w N T n L X > < a : K e y > < K e y > T a b l e s \ D a t a \ M e a s u r e s \ S u m   o f   A c t u a l   B u d g e t < / K e y > < / a : K e y > < a : V a l u e   i : t y p e = " D i a g r a m D i s p l a y N o d e V i e w S t a t e " > < H e i g h t > 1 5 0 < / H e i g h t > < I s E x p a n d e d > t r u e < / I s E x p a n d e d > < W i d t h > 2 0 0 < / W i d t h > < / a : V a l u e > < / a : K e y V a l u e O f D i a g r a m O b j e c t K e y a n y T y p e z b w N T n L X > < a : K e y V a l u e O f D i a g r a m O b j e c t K e y a n y T y p e z b w N T n L X > < a : K e y > < K e y > T a b l e s \ D a t a \ S u m   o f   A c t u a l   B u d g e t \ A d d i t i o n a l   I n f o \ I m p l i c i t   M e a s u r e < / K e y > < / a : K e y > < a : V a l u e   i : t y p e = " D i a g r a m D i s p l a y V i e w S t a t e I D i a g r a m T a g A d d i t i o n a l I n f o " / > < / a : K e y V a l u e O f D i a g r a m O b j e c t K e y a n y T y p e z b w N T n L X > < a : K e y V a l u e O f D i a g r a m O b j e c t K e y a n y T y p e z b w N T n L X > < a : K e y > < K e y > T a b l e s \ D a t a \ M e a s u r e s \ S u m   o f   A c t u a l   I n c o m e < / K e y > < / a : K e y > < a : V a l u e   i : t y p e = " D i a g r a m D i s p l a y N o d e V i e w S t a t e " > < H e i g h t > 1 5 0 < / H e i g h t > < I s E x p a n d e d > t r u e < / I s E x p a n d e d > < W i d t h > 2 0 0 < / W i d t h > < / a : V a l u e > < / a : K e y V a l u e O f D i a g r a m O b j e c t K e y a n y T y p e z b w N T n L X > < a : K e y V a l u e O f D i a g r a m O b j e c t K e y a n y T y p e z b w N T n L X > < a : K e y > < K e y > T a b l e s \ D a t a \ S u m   o f   A c t u a l   I n c o m e \ A d d i t i o n a l   I n f o \ I m p l i c i t   M e a s u r e < / K e y > < / a : K e y > < a : V a l u e   i : t y p e = " D i a g r a m D i s p l a y V i e w S t a t e I D i a g r a m T a g A d d i t i o n a l I n f o " / > < / a : K e y V a l u e O f D i a g r a m O b j e c t K e y a n y T y p e z b w N T n L X > < a : K e y V a l u e O f D i a g r a m O b j e c t K e y a n y T y p e z b w N T n L X > < a : K e y > < K e y > T a b l e s \ C a t e g o r y < / K e y > < / a : K e y > < a : V a l u e   i : t y p e = " D i a g r a m D i s p l a y N o d e V i e w S t a t e " > < H e i g h t > 1 5 0 < / H e i g h t > < I s E x p a n d e d > t r u e < / I s E x p a n d e d > < L a y e d O u t > t r u e < / L a y e d O u t > < L e f t > 7 0 5 . 1 3 2 5 4 3 0 6 5 1 2 2 4 9 < / L e f t > < T a b I n d e x > 2 < / T a b I n d e x > < W i d t h > 2 0 0 < / W i d t h > < / a : V a l u e > < / a : K e y V a l u e O f D i a g r a m O b j e c t K e y a n y T y p e z b w N T n L X > < a : K e y V a l u e O f D i a g r a m O b j e c t K e y a n y T y p e z b w N T n L X > < a : K e y > < K e y > T a b l e s \ C a t e g o r y \ C o l u m n s \ O r d e r < / 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 T a b l e s \ S u b C a t e g o r y < / K e y > < / a : K e y > < a : V a l u e   i : t y p e = " D i a g r a m D i s p l a y N o d e V i e w S t a t e " > < H e i g h t > 1 5 0 < / H e i g h t > < I s E x p a n d e d > t r u e < / I s E x p a n d e d > < L a y e d O u t > t r u e < / L a y e d O u t > < L e f t > 9 0 8 . 2 0 7 6 2 1 1 3 5 3 3 1 9 2 < / L e f t > < T a b I n d e x > 3 < / T a b I n d e x > < W i d t h > 2 0 0 < / W i d t h > < / a : V a l u e > < / a : K e y V a l u e O f D i a g r a m O b j e c t K e y a n y T y p e z b w N T n L X > < a : K e y V a l u e O f D i a g r a m O b j e c t K e y a n y T y p e z b w N T n L X > < a : K e y > < K e y > T a b l e s \ S u b C a t e g o r y \ C o l u m n s \ H o u s i n g < / K e y > < / a : K e y > < a : V a l u e   i : t y p e = " D i a g r a m D i s p l a y N o d e V i e w S t a t e " > < H e i g h t > 1 5 0 < / H e i g h t > < I s E x p a n d e d > t r u e < / I s E x p a n d e d > < W i d t h > 2 0 0 < / W i d t h > < / a : V a l u e > < / a : K e y V a l u e O f D i a g r a m O b j e c t K e y a n y T y p e z b w N T n L X > < a : K e y V a l u e O f D i a g r a m O b j e c t K e y a n y T y p e z b w N T n L X > < a : K e y > < K e y > T a b l e s \ S u b C a t e g o r y \ C o l u m n s \ E n t e r t a i n m e n t < / K e y > < / a : K e y > < a : V a l u e   i : t y p e = " D i a g r a m D i s p l a y N o d e V i e w S t a t e " > < H e i g h t > 1 5 0 < / H e i g h t > < I s E x p a n d e d > t r u e < / I s E x p a n d e d > < W i d t h > 2 0 0 < / W i d t h > < / a : V a l u e > < / a : K e y V a l u e O f D i a g r a m O b j e c t K e y a n y T y p e z b w N T n L X > < a : K e y V a l u e O f D i a g r a m O b j e c t K e y a n y T y p e z b w N T n L X > < a : K e y > < K e y > T a b l e s \ S u b C a t e g o r y \ C o l u m n s \ T r a n s p o r t a t i o n < / K e y > < / a : K e y > < a : V a l u e   i : t y p e = " D i a g r a m D i s p l a y N o d e V i e w S t a t e " > < H e i g h t > 1 5 0 < / H e i g h t > < I s E x p a n d e d > t r u e < / I s E x p a n d e d > < W i d t h > 2 0 0 < / W i d t h > < / a : V a l u e > < / a : K e y V a l u e O f D i a g r a m O b j e c t K e y a n y T y p e z b w N T n L X > < a : K e y V a l u e O f D i a g r a m O b j e c t K e y a n y T y p e z b w N T n L X > < a : K e y > < K e y > T a b l e s \ S u b C a t e g o r y \ C o l u m n s \ L o a n s < / K e y > < / a : K e y > < a : V a l u e   i : t y p e = " D i a g r a m D i s p l a y N o d e V i e w S t a t e " > < H e i g h t > 1 5 0 < / H e i g h t > < I s E x p a n d e d > t r u e < / I s E x p a n d e d > < W i d t h > 2 0 0 < / W i d t h > < / a : V a l u e > < / a : K e y V a l u e O f D i a g r a m O b j e c t K e y a n y T y p e z b w N T n L X > < a : K e y V a l u e O f D i a g r a m O b j e c t K e y a n y T y p e z b w N T n L X > < a : K e y > < K e y > T a b l e s \ S u b C a t e g o r y \ C o l u m n s \ I n s u r a n c e < / K e y > < / a : K e y > < a : V a l u e   i : t y p e = " D i a g r a m D i s p l a y N o d e V i e w S t a t e " > < H e i g h t > 1 5 0 < / H e i g h t > < I s E x p a n d e d > t r u e < / I s E x p a n d e d > < W i d t h > 2 0 0 < / W i d t h > < / a : V a l u e > < / a : K e y V a l u e O f D i a g r a m O b j e c t K e y a n y T y p e z b w N T n L X > < a : K e y V a l u e O f D i a g r a m O b j e c t K e y a n y T y p e z b w N T n L X > < a : K e y > < K e y > T a b l e s \ S u b C a t e g o r y \ C o l u m n s \ T a x e s < / K e y > < / a : K e y > < a : V a l u e   i : t y p e = " D i a g r a m D i s p l a y N o d e V i e w S t a t e " > < H e i g h t > 1 5 0 < / H e i g h t > < I s E x p a n d e d > t r u e < / I s E x p a n d e d > < W i d t h > 2 0 0 < / W i d t h > < / a : V a l u e > < / a : K e y V a l u e O f D i a g r a m O b j e c t K e y a n y T y p e z b w N T n L X > < a : K e y V a l u e O f D i a g r a m O b j e c t K e y a n y T y p e z b w N T n L X > < a : K e y > < K e y > T a b l e s \ S u b C a t e g o r y \ C o l u m n s \ F o o d < / K e y > < / a : K e y > < a : V a l u e   i : t y p e = " D i a g r a m D i s p l a y N o d e V i e w S t a t e " > < H e i g h t > 1 5 0 < / H e i g h t > < I s E x p a n d e d > t r u e < / I s E x p a n d e d > < W i d t h > 2 0 0 < / W i d t h > < / a : V a l u e > < / a : K e y V a l u e O f D i a g r a m O b j e c t K e y a n y T y p e z b w N T n L X > < a : K e y V a l u e O f D i a g r a m O b j e c t K e y a n y T y p e z b w N T n L X > < a : K e y > < K e y > T a b l e s \ S u b C a t e g o r y \ C o l u m n s \ S a v i n g s   o r   I n v e s t m e n t s < / K e y > < / a : K e y > < a : V a l u e   i : t y p e = " D i a g r a m D i s p l a y N o d e V i e w S t a t e " > < H e i g h t > 1 5 0 < / H e i g h t > < I s E x p a n d e d > t r u e < / I s E x p a n d e d > < W i d t h > 2 0 0 < / W i d t h > < / a : V a l u e > < / a : K e y V a l u e O f D i a g r a m O b j e c t K e y a n y T y p e z b w N T n L X > < a : K e y V a l u e O f D i a g r a m O b j e c t K e y a n y T y p e z b w N T n L X > < a : K e y > < K e y > T a b l e s \ S u b C a t e g o r y \ C o l u m n s \ P e t s < / K e y > < / a : K e y > < a : V a l u e   i : t y p e = " D i a g r a m D i s p l a y N o d e V i e w S t a t e " > < H e i g h t > 1 5 0 < / H e i g h t > < I s E x p a n d e d > t r u e < / I s E x p a n d e d > < W i d t h > 2 0 0 < / W i d t h > < / a : V a l u e > < / a : K e y V a l u e O f D i a g r a m O b j e c t K e y a n y T y p e z b w N T n L X > < a : K e y V a l u e O f D i a g r a m O b j e c t K e y a n y T y p e z b w N T n L X > < a : K e y > < K e y > T a b l e s \ S u b C a t e g o r y \ C o l u m n s \ G i f t s   a n d   D o n a t i o n s < / K e y > < / a : K e y > < a : V a l u e   i : t y p e = " D i a g r a m D i s p l a y N o d e V i e w S t a t e " > < H e i g h t > 1 5 0 < / H e i g h t > < I s E x p a n d e d > t r u e < / I s E x p a n d e d > < W i d t h > 2 0 0 < / W i d t h > < / a : V a l u e > < / a : K e y V a l u e O f D i a g r a m O b j e c t K e y a n y T y p e z b w N T n L X > < a : K e y V a l u e O f D i a g r a m O b j e c t K e y a n y T y p e z b w N T n L X > < a : K e y > < K e y > T a b l e s \ S u b C a t e g o r y \ C o l u m n s \ P e r s o n a l   C a r e < / K e y > < / a : K e y > < a : V a l u e   i : t y p e = " D i a g r a m D i s p l a y N o d e V i e w S t a t e " > < H e i g h t > 1 5 0 < / H e i g h t > < I s E x p a n d e d > t r u e < / I s E x p a n d e d > < W i d t h > 2 0 0 < / W i d t h > < / a : V a l u e > < / a : K e y V a l u e O f D i a g r a m O b j e c t K e y a n y T y p e z b w N T n L X > < a : K e y V a l u e O f D i a g r a m O b j e c t K e y a n y T y p e z b w N T n L X > < a : K e y > < K e y > T a b l e s \ S u b C a t e g o r y \ C o l u m n s \ L e g a l < / K e y > < / a : K e y > < a : V a l u e   i : t y p e = " D i a g r a m D i s p l a y N o d e V i e w S t a t e " > < H e i g h t > 1 5 0 < / H e i g h t > < I s E x p a n d e d > t r u e < / I s E x p a n d e d > < W i d t h > 2 0 0 < / W i d t h > < / a : V a l u e > < / a : K e y V a l u e O f D i a g r a m O b j e c t K e y a n y T y p e z b w N T n L X > < a : K e y V a l u e O f D i a g r a m O b j e c t K e y a n y T y p e z b w N T n L X > < a : K e y > < K e y > T a b l e s \ S u b C a t e g o r y \ C o l u m n s \ S h o p p i n g < / 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 2 9 3 . 0 0 7 6 2 1 1 3 5 3 3 1 8 7 < / L e f t > < 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 T a b l e s \ M o n t h < / K e y > < / a : K e y > < a : V a l u e   i : t y p e = " D i a g r a m D i s p l a y N o d e V i e w S t a t e " > < H e i g h t > 1 5 0 < / H e i g h t > < I s E x p a n d e d > t r u e < / I s E x p a n d e d > < I s F o c u s e d > t r u e < / I s F o c u s e d > < L a y e d O u t > t r u e < / L a y e d O u t > < L e f t > 4 9 9 . 5 0 3 8 1 0 5 6 7 6 6 5 9 4 < / L e f t > < T a b I n d e x > 1 < / T a b I n d e x > < W i d t h > 2 0 0 < / W i d t h > < / a : V a l u e > < / a : K e y V a l u e O f D i a g r a m O b j e c t K e y a n y T y p e z b w N T n L X > < a : K e y V a l u e O f D i a g r a m O b j e c t K e y a n y T y p e z b w N T n L X > < a : K e y > < K e y > T a b l e s \ M o n t h \ C o l u m n s \ M o n t h < / K e y > < / a : K e y > < a : V a l u e   i : t y p e = " D i a g r a m D i s p l a y N o d e V i e w S t a t e " > < H e i g h t > 1 5 0 < / H e i g h t > < I s E x p a n d e d > t r u e < / I s E x p a n d e d > < W i d t h > 2 0 0 < / W i d t h > < / a : V a l u e > < / a : K e y V a l u e O f D i a g r a m O b j e c t K e y a n y T y p e z b w N T n L X > < a : K e y V a l u e O f D i a g r a m O b j e c t K e y a n y T y p e z b w N T n L X > < a : K e y > < K e y > R e l a t i o n s h i p s \ & l t ; T a b l e s \ P l a n   D a t a \ C o l u m n s \ C a t e g o r y & g t ; - & l t ; T a b l e s \ C a t e g o r y \ C o l u m n s \ C a t e g o r y & g t ; < / K e y > < / a : K e y > < a : V a l u e   i : t y p e = " D i a g r a m D i s p l a y L i n k V i e w S t a t e " > < A u t o m a t i o n P r o p e r t y H e l p e r T e x t > E n d   p o i n t   1 :   ( 4 8 9 . 2 0 0 0 0 0 0 3 8 1 5 6 , 3 1 6 . 7 1 2 4 5 9 0 5 0 6 9 9 ) .   E n d   p o i n t   2 :   ( 7 2 6 . 5 0 3 8 1 1 , 1 6 6 )   < / A u t o m a t i o n P r o p e r t y H e l p e r T e x t > < L a y e d O u t > t r u e < / L a y e d O u t > < P o i n t s   x m l n s : b = " h t t p : / / s c h e m a s . d a t a c o n t r a c t . o r g / 2 0 0 4 / 0 7 / S y s t e m . W i n d o w s " > < b : P o i n t > < b : _ x > 4 8 9 . 2 0 0 0 0 0 0 3 8 1 5 5 8 5 < / b : _ x > < b : _ y > 3 1 6 . 7 1 2 4 5 9 0 5 0 6 9 8 9 < / b : _ y > < / b : P o i n t > < b : P o i n t > < b : _ x > 4 8 9 . 2 0 0 0 0 0 0 3 8 1 5 5 8 5 < / b : _ x > < b : _ y > 1 8 8 . 7 4 4 8 1 5 < / b : _ y > < / b : P o i n t > < b : P o i n t > < b : _ x > 4 9 1 . 2 0 0 0 0 0 0 3 8 1 5 5 8 5 < / b : _ x > < b : _ y > 1 8 6 . 7 4 4 8 1 5 < / b : _ y > < / b : P o i n t > < b : P o i n t > < b : _ x > 7 2 4 . 5 0 3 8 1 1 < / b : _ x > < b : _ y > 1 8 6 . 7 4 4 8 1 5 < / b : _ y > < / b : P o i n t > < b : P o i n t > < b : _ x > 7 2 6 . 5 0 3 8 1 1 < / b : _ x > < b : _ y > 1 8 4 . 7 4 4 8 1 5 < / b : _ y > < / b : P o i n t > < b : P o i n t > < b : _ x > 7 2 6 . 5 0 3 8 1 1 < / b : _ x > < b : _ y > 1 6 6 < / b : _ y > < / b : P o i n t > < / P o i n t s > < / a : V a l u e > < / a : K e y V a l u e O f D i a g r a m O b j e c t K e y a n y T y p e z b w N T n L X > < a : K e y V a l u e O f D i a g r a m O b j e c t K e y a n y T y p e z b w N T n L X > < a : K e y > < K e y > R e l a t i o n s h i p s \ & l t ; T a b l e s \ P l a n   D a t a \ C o l u m n s \ C a t e g o r y & g t ; - & l t ; T a b l e s \ C a t e g o r y \ C o l u m n s \ C a t e g o r y & g t ; \ F K < / K e y > < / a : K e y > < a : V a l u e   i : t y p e = " D i a g r a m D i s p l a y L i n k E n d p o i n t V i e w S t a t e " > < H e i g h t > 1 6 < / H e i g h t > < L a b e l L o c a t i o n   x m l n s : b = " h t t p : / / s c h e m a s . d a t a c o n t r a c t . o r g / 2 0 0 4 / 0 7 / S y s t e m . W i n d o w s " > < b : _ x > 4 8 1 . 2 0 0 0 0 0 0 3 8 1 5 5 8 5 < / b : _ x > < b : _ y > 3 1 6 . 7 1 2 4 5 9 0 5 0 6 9 8 9 < / b : _ y > < / L a b e l L o c a t i o n > < L o c a t i o n   x m l n s : b = " h t t p : / / s c h e m a s . d a t a c o n t r a c t . o r g / 2 0 0 4 / 0 7 / S y s t e m . W i n d o w s " > < b : _ x > 4 8 9 . 2 0 0 0 0 0 0 3 8 1 5 5 8 5 < / b : _ x > < b : _ y > 3 3 2 . 7 1 2 4 5 9 0 5 0 6 9 8 9 < / b : _ y > < / L o c a t i o n > < S h a p e R o t a t e A n g l e > 2 7 0 < / S h a p e R o t a t e A n g l e > < W i d t h > 1 6 < / W i d t h > < / a : V a l u e > < / a : K e y V a l u e O f D i a g r a m O b j e c t K e y a n y T y p e z b w N T n L X > < a : K e y V a l u e O f D i a g r a m O b j e c t K e y a n y T y p e z b w N T n L X > < a : K e y > < K e y > R e l a t i o n s h i p s \ & l t ; T a b l e s \ P l a n   D a t a \ C o l u m n s \ C a t e g o r y & g t ; - & l t ; T a b l e s \ C a t e g o r y \ C o l u m n s \ C a t e g o r y & g t ; \ P K < / K e y > < / a : K e y > < a : V a l u e   i : t y p e = " D i a g r a m D i s p l a y L i n k E n d p o i n t V i e w S t a t e " > < H e i g h t > 1 6 < / H e i g h t > < L a b e l L o c a t i o n   x m l n s : b = " h t t p : / / s c h e m a s . d a t a c o n t r a c t . o r g / 2 0 0 4 / 0 7 / S y s t e m . W i n d o w s " > < b : _ x > 7 1 8 . 5 0 3 8 1 1 < / b : _ x > < b : _ y > 1 5 0 < / b : _ y > < / L a b e l L o c a t i o n > < L o c a t i o n   x m l n s : b = " h t t p : / / s c h e m a s . d a t a c o n t r a c t . o r g / 2 0 0 4 / 0 7 / S y s t e m . W i n d o w s " > < b : _ x > 7 2 6 . 5 0 3 8 1 1 < / b : _ x > < b : _ y > 1 5 0 < / b : _ y > < / L o c a t i o n > < S h a p e R o t a t e A n g l e > 9 0 < / S h a p e R o t a t e A n g l e > < W i d t h > 1 6 < / W i d t h > < / a : V a l u e > < / a : K e y V a l u e O f D i a g r a m O b j e c t K e y a n y T y p e z b w N T n L X > < a : K e y V a l u e O f D i a g r a m O b j e c t K e y a n y T y p e z b w N T n L X > < a : K e y > < K e y > R e l a t i o n s h i p s \ & l t ; T a b l e s \ P l a n   D a t a \ C o l u m n s \ C a t e g o r y & g t ; - & l t ; T a b l e s \ C a t e g o r y \ C o l u m n s \ C a t e g o r y & g t ; \ C r o s s F i l t e r < / K e y > < / a : K e y > < a : V a l u e   i : t y p e = " D i a g r a m D i s p l a y L i n k C r o s s F i l t e r V i e w S t a t e " > < P o i n t s   x m l n s : b = " h t t p : / / s c h e m a s . d a t a c o n t r a c t . o r g / 2 0 0 4 / 0 7 / S y s t e m . W i n d o w s " > < b : P o i n t > < b : _ x > 4 8 9 . 2 0 0 0 0 0 0 3 8 1 5 5 8 5 < / b : _ x > < b : _ y > 3 1 6 . 7 1 2 4 5 9 0 5 0 6 9 8 9 < / b : _ y > < / b : P o i n t > < b : P o i n t > < b : _ x > 4 8 9 . 2 0 0 0 0 0 0 3 8 1 5 5 8 5 < / b : _ x > < b : _ y > 1 8 8 . 7 4 4 8 1 5 < / b : _ y > < / b : P o i n t > < b : P o i n t > < b : _ x > 4 9 1 . 2 0 0 0 0 0 0 3 8 1 5 5 8 5 < / b : _ x > < b : _ y > 1 8 6 . 7 4 4 8 1 5 < / b : _ y > < / b : P o i n t > < b : P o i n t > < b : _ x > 7 2 4 . 5 0 3 8 1 1 < / b : _ x > < b : _ y > 1 8 6 . 7 4 4 8 1 5 < / b : _ y > < / b : P o i n t > < b : P o i n t > < b : _ x > 7 2 6 . 5 0 3 8 1 1 < / b : _ x > < b : _ y > 1 8 4 . 7 4 4 8 1 5 < / b : _ y > < / b : P o i n t > < b : P o i n t > < b : _ x > 7 2 6 . 5 0 3 8 1 1 < / b : _ x > < b : _ y > 1 6 6 < / b : _ y > < / b : P o i n t > < / P o i n t s > < / a : V a l u e > < / a : K e y V a l u e O f D i a g r a m O b j e c t K e y a n y T y p e z b w N T n L X > < a : K e y V a l u e O f D i a g r a m O b j e c t K e y a n y T y p e z b w N T n L X > < a : K e y > < K e y > R e l a t i o n s h i p s \ & l t ; T a b l e s \ P l a n   D a t a \ C o l u m n s \ M o n t h & g t ; - & l t ; T a b l e s \ M o n t h \ C o l u m n s \ M o n t h & g t ; < / K e y > < / a : K e y > < a : V a l u e   i : t y p e = " D i a g r a m D i s p l a y L i n k V i e w S t a t e " > < A u t o m a t i o n P r o p e r t y H e l p e r T e x t > E n d   p o i n t   1 :   ( 4 6 9 . 2 0 0 0 0 0 0 3 8 1 5 6 , 3 1 6 . 7 1 2 4 5 9 0 5 0 6 9 9 ) .   E n d   p o i n t   2 :   ( 5 5 9 . 5 0 3 8 1 1 , 1 6 6 )   < / A u t o m a t i o n P r o p e r t y H e l p e r T e x t > < L a y e d O u t > t r u e < / L a y e d O u t > < P o i n t s   x m l n s : b = " h t t p : / / s c h e m a s . d a t a c o n t r a c t . o r g / 2 0 0 4 / 0 7 / S y s t e m . W i n d o w s " > < b : P o i n t > < b : _ x > 4 6 9 . 2 0 0 0 0 0 0 3 8 1 5 5 7 9 < / b : _ x > < b : _ y > 3 1 6 . 7 1 2 4 5 9 0 5 0 6 9 8 8 4 < / b : _ y > < / b : P o i n t > < b : P o i n t > < b : _ x > 4 6 9 . 2 0 0 0 0 0 0 3 8 1 5 5 8 5 < / b : _ x > < b : _ y > 1 8 3 . 7 4 4 8 1 5 < / b : _ y > < / b : P o i n t > < b : P o i n t > < b : _ x > 4 7 1 . 2 0 0 0 0 0 0 3 8 1 5 5 8 5 < / b : _ x > < b : _ y > 1 8 1 . 7 4 4 8 1 5 < / b : _ y > < / b : P o i n t > < b : P o i n t > < b : _ x > 5 5 7 . 5 0 3 8 1 1 < / b : _ x > < b : _ y > 1 8 1 . 7 4 4 8 1 5 < / b : _ y > < / b : P o i n t > < b : P o i n t > < b : _ x > 5 5 9 . 5 0 3 8 1 1 < / b : _ x > < b : _ y > 1 7 9 . 7 4 4 8 1 5 < / b : _ y > < / b : P o i n t > < b : P o i n t > < b : _ x > 5 5 9 . 5 0 3 8 1 1 < / b : _ x > < b : _ y > 1 6 6 < / b : _ y > < / b : P o i n t > < / P o i n t s > < / a : V a l u e > < / a : K e y V a l u e O f D i a g r a m O b j e c t K e y a n y T y p e z b w N T n L X > < a : K e y V a l u e O f D i a g r a m O b j e c t K e y a n y T y p e z b w N T n L X > < a : K e y > < K e y > R e l a t i o n s h i p s \ & l t ; T a b l e s \ P l a n   D a t a \ C o l u m n s \ M o n t h & g t ; - & l t ; T a b l e s \ M o n t h \ C o l u m n s \ M o n t h & g t ; \ F K < / K e y > < / a : K e y > < a : V a l u e   i : t y p e = " D i a g r a m D i s p l a y L i n k E n d p o i n t V i e w S t a t e " > < H e i g h t > 1 6 < / H e i g h t > < L a b e l L o c a t i o n   x m l n s : b = " h t t p : / / s c h e m a s . d a t a c o n t r a c t . o r g / 2 0 0 4 / 0 7 / S y s t e m . W i n d o w s " > < b : _ x > 4 6 1 . 2 0 0 0 0 0 0 3 8 1 5 5 7 9 < / b : _ x > < b : _ y > 3 1 6 . 7 1 2 4 5 9 0 5 0 6 9 8 8 4 < / b : _ y > < / L a b e l L o c a t i o n > < L o c a t i o n   x m l n s : b = " h t t p : / / s c h e m a s . d a t a c o n t r a c t . o r g / 2 0 0 4 / 0 7 / S y s t e m . W i n d o w s " > < b : _ x > 4 6 9 . 2 0 0 0 0 0 0 3 8 1 5 5 8 5 < / b : _ x > < b : _ y > 3 3 2 . 7 1 2 4 5 9 0 5 0 6 9 8 8 4 < / b : _ y > < / L o c a t i o n > < S h a p e R o t a t e A n g l e > 2 6 9 . 9 9 9 9 9 9 9 9 9 9 9 9 7 7 < / S h a p e R o t a t e A n g l e > < W i d t h > 1 6 < / W i d t h > < / a : V a l u e > < / a : K e y V a l u e O f D i a g r a m O b j e c t K e y a n y T y p e z b w N T n L X > < a : K e y V a l u e O f D i a g r a m O b j e c t K e y a n y T y p e z b w N T n L X > < a : K e y > < K e y > R e l a t i o n s h i p s \ & l t ; T a b l e s \ P l a n   D a t a \ C o l u m n s \ M o n t h & g t ; - & l t ; T a b l e s \ M o n t h \ C o l u m n s \ M o n t h & g t ; \ P K < / K e y > < / a : K e y > < a : V a l u e   i : t y p e = " D i a g r a m D i s p l a y L i n k E n d p o i n t V i e w S t a t e " > < H e i g h t > 1 6 < / H e i g h t > < L a b e l L o c a t i o n   x m l n s : b = " h t t p : / / s c h e m a s . d a t a c o n t r a c t . o r g / 2 0 0 4 / 0 7 / S y s t e m . W i n d o w s " > < b : _ x > 5 5 1 . 5 0 3 8 1 1 < / b : _ x > < b : _ y > 1 5 0 < / b : _ y > < / L a b e l L o c a t i o n > < L o c a t i o n   x m l n s : b = " h t t p : / / s c h e m a s . d a t a c o n t r a c t . o r g / 2 0 0 4 / 0 7 / S y s t e m . W i n d o w s " > < b : _ x > 5 5 9 . 5 0 3 8 1 1 < / b : _ x > < b : _ y > 1 5 0 < / b : _ y > < / L o c a t i o n > < S h a p e R o t a t e A n g l e > 9 0 < / S h a p e R o t a t e A n g l e > < W i d t h > 1 6 < / W i d t h > < / a : V a l u e > < / a : K e y V a l u e O f D i a g r a m O b j e c t K e y a n y T y p e z b w N T n L X > < a : K e y V a l u e O f D i a g r a m O b j e c t K e y a n y T y p e z b w N T n L X > < a : K e y > < K e y > R e l a t i o n s h i p s \ & l t ; T a b l e s \ P l a n   D a t a \ C o l u m n s \ M o n t h & g t ; - & l t ; T a b l e s \ M o n t h \ C o l u m n s \ M o n t h & g t ; \ C r o s s F i l t e r < / K e y > < / a : K e y > < a : V a l u e   i : t y p e = " D i a g r a m D i s p l a y L i n k C r o s s F i l t e r V i e w S t a t e " > < P o i n t s   x m l n s : b = " h t t p : / / s c h e m a s . d a t a c o n t r a c t . o r g / 2 0 0 4 / 0 7 / S y s t e m . W i n d o w s " > < b : P o i n t > < b : _ x > 4 6 9 . 2 0 0 0 0 0 0 3 8 1 5 5 7 9 < / b : _ x > < b : _ y > 3 1 6 . 7 1 2 4 5 9 0 5 0 6 9 8 8 4 < / b : _ y > < / b : P o i n t > < b : P o i n t > < b : _ x > 4 6 9 . 2 0 0 0 0 0 0 3 8 1 5 5 8 5 < / b : _ x > < b : _ y > 1 8 3 . 7 4 4 8 1 5 < / b : _ y > < / b : P o i n t > < b : P o i n t > < b : _ x > 4 7 1 . 2 0 0 0 0 0 0 3 8 1 5 5 8 5 < / b : _ x > < b : _ y > 1 8 1 . 7 4 4 8 1 5 < / b : _ y > < / b : P o i n t > < b : P o i n t > < b : _ x > 5 5 7 . 5 0 3 8 1 1 < / b : _ x > < b : _ y > 1 8 1 . 7 4 4 8 1 5 < / b : _ y > < / b : P o i n t > < b : P o i n t > < b : _ x > 5 5 9 . 5 0 3 8 1 1 < / b : _ x > < b : _ y > 1 7 9 . 7 4 4 8 1 5 < / b : _ y > < / b : P o i n t > < b : P o i n t > < b : _ x > 5 5 9 . 5 0 3 8 1 1 < / b : _ x > < b : _ y > 1 6 6 < / b : _ y > < / b : P o i n t > < / P o i n t s > < / a : V a l u e > < / a : K e y V a l u e O f D i a g r a m O b j e c t K e y a n y T y p e z b w N T n L X > < a : K e y V a l u e O f D i a g r a m O b j e c t K e y a n y T y p e z b w N T n L X > < a : K e y > < K e y > R e l a t i o n s h i p s \ & l t ; T a b l e s \ P l a n   D a t a \ C o l u m n s \ Y e a r & g t ; - & l t ; T a b l e s \ Y e a r \ C o l u m n s \ Y e a r & g t ; < / K e y > < / a : K e y > < a : V a l u e   i : t y p e = " D i a g r a m D i s p l a y L i n k V i e w S t a t e " > < A u t o m a t i o n P r o p e r t y H e l p e r T e x t > E n d   p o i n t   1 :   ( 4 2 9 . 2 0 0 0 0 0 0 3 8 1 5 6 , 3 1 6 . 7 1 2 4 5 9 0 5 0 6 9 9 ) .   E n d   p o i n t   2 :   ( 3 2 5 . 0 0 7 6 2 1 0 6 1 3 6 9 , 1 6 6 )   < / A u t o m a t i o n P r o p e r t y H e l p e r T e x t > < L a y e d O u t > t r u e < / L a y e d O u t > < P o i n t s   x m l n s : b = " h t t p : / / s c h e m a s . d a t a c o n t r a c t . o r g / 2 0 0 4 / 0 7 / S y s t e m . W i n d o w s " > < b : P o i n t > < b : _ x > 4 2 9 . 2 0 0 0 0 0 0 3 8 1 5 5 8 5 < / b : _ x > < b : _ y > 3 1 6 . 7 1 2 4 5 9 0 5 0 6 9 8 9 < / b : _ y > < / b : P o i n t > < b : P o i n t > < b : _ x > 4 2 9 . 2 0 0 0 0 0 0 3 8 1 5 5 8 5 < / b : _ x > < b : _ y > 2 4 3 . 7 4 4 8 1 5 < / b : _ y > < / b : P o i n t > < b : P o i n t > < b : _ x > 4 2 7 . 2 0 0 0 0 0 0 3 8 1 5 5 8 5 < / b : _ x > < b : _ y > 2 4 1 . 7 4 4 8 1 5 < / b : _ y > < / b : P o i n t > < b : P o i n t > < b : _ x > 3 2 7 . 0 0 7 6 2 1 0 6 1 3 6 8 5 8 < / b : _ x > < b : _ y > 2 4 1 . 7 4 4 8 1 5 < / b : _ y > < / b : P o i n t > < b : P o i n t > < b : _ x > 3 2 5 . 0 0 7 6 2 1 0 6 1 3 6 8 5 8 < / b : _ x > < b : _ y > 2 3 9 . 7 4 4 8 1 5 < / b : _ y > < / b : P o i n t > < b : P o i n t > < b : _ x > 3 2 5 . 0 0 7 6 2 1 0 6 1 3 6 8 5 8 < / b : _ x > < b : _ y > 1 6 5 . 9 9 9 9 9 9 9 9 9 9 9 9 9 4 < / b : _ y > < / b : P o i n t > < / P o i n t s > < / a : V a l u e > < / a : K e y V a l u e O f D i a g r a m O b j e c t K e y a n y T y p e z b w N T n L X > < a : K e y V a l u e O f D i a g r a m O b j e c t K e y a n y T y p e z b w N T n L X > < a : K e y > < K e y > R e l a t i o n s h i p s \ & l t ; T a b l e s \ P l a n   D a t a \ C o l u m n s \ Y e a r & g t ; - & l t ; T a b l e s \ Y e a r \ C o l u m n s \ Y e a r & g t ; \ F K < / K e y > < / a : K e y > < a : V a l u e   i : t y p e = " D i a g r a m D i s p l a y L i n k E n d p o i n t V i e w S t a t e " > < H e i g h t > 1 6 < / H e i g h t > < L a b e l L o c a t i o n   x m l n s : b = " h t t p : / / s c h e m a s . d a t a c o n t r a c t . o r g / 2 0 0 4 / 0 7 / S y s t e m . W i n d o w s " > < b : _ x > 4 2 1 . 2 0 0 0 0 0 0 3 8 1 5 5 8 5 < / b : _ x > < b : _ y > 3 1 6 . 7 1 2 4 5 9 0 5 0 6 9 8 9 < / b : _ y > < / L a b e l L o c a t i o n > < L o c a t i o n   x m l n s : b = " h t t p : / / s c h e m a s . d a t a c o n t r a c t . o r g / 2 0 0 4 / 0 7 / S y s t e m . W i n d o w s " > < b : _ x > 4 2 9 . 2 0 0 0 0 0 0 3 8 1 5 5 8 5 < / b : _ x > < b : _ y > 3 3 2 . 7 1 2 4 5 9 0 5 0 6 9 8 9 < / b : _ y > < / L o c a t i o n > < S h a p e R o t a t e A n g l e > 2 7 0 < / S h a p e R o t a t e A n g l e > < W i d t h > 1 6 < / W i d t h > < / a : V a l u e > < / a : K e y V a l u e O f D i a g r a m O b j e c t K e y a n y T y p e z b w N T n L X > < a : K e y V a l u e O f D i a g r a m O b j e c t K e y a n y T y p e z b w N T n L X > < a : K e y > < K e y > R e l a t i o n s h i p s \ & l t ; T a b l e s \ P l a n   D a t a \ C o l u m n s \ Y e a r & g t ; - & l t ; T a b l e s \ Y e a r \ C o l u m n s \ Y e a r & g t ; \ P K < / K e y > < / a : K e y > < a : V a l u e   i : t y p e = " D i a g r a m D i s p l a y L i n k E n d p o i n t V i e w S t a t e " > < H e i g h t > 1 6 < / H e i g h t > < L a b e l L o c a t i o n   x m l n s : b = " h t t p : / / s c h e m a s . d a t a c o n t r a c t . o r g / 2 0 0 4 / 0 7 / S y s t e m . W i n d o w s " > < b : _ x > 3 1 7 . 0 0 7 6 2 1 0 6 1 3 6 8 5 8 < / b : _ x > < b : _ y > 1 4 9 . 9 9 9 9 9 9 9 9 9 9 9 9 9 4 < / b : _ y > < / L a b e l L o c a t i o n > < L o c a t i o n   x m l n s : b = " h t t p : / / s c h e m a s . d a t a c o n t r a c t . o r g / 2 0 0 4 / 0 7 / S y s t e m . W i n d o w s " > < b : _ x > 3 2 5 . 0 0 7 6 2 1 0 6 1 3 6 8 5 8 < / b : _ x > < b : _ y > 1 4 9 . 9 9 9 9 9 9 9 9 9 9 9 9 9 7 < / b : _ y > < / L o c a t i o n > < S h a p e R o t a t e A n g l e > 9 0 < / S h a p e R o t a t e A n g l e > < W i d t h > 1 6 < / W i d t h > < / a : V a l u e > < / a : K e y V a l u e O f D i a g r a m O b j e c t K e y a n y T y p e z b w N T n L X > < a : K e y V a l u e O f D i a g r a m O b j e c t K e y a n y T y p e z b w N T n L X > < a : K e y > < K e y > R e l a t i o n s h i p s \ & l t ; T a b l e s \ P l a n   D a t a \ C o l u m n s \ Y e a r & g t ; - & l t ; T a b l e s \ Y e a r \ C o l u m n s \ Y e a r & g t ; \ C r o s s F i l t e r < / K e y > < / a : K e y > < a : V a l u e   i : t y p e = " D i a g r a m D i s p l a y L i n k C r o s s F i l t e r V i e w S t a t e " > < P o i n t s   x m l n s : b = " h t t p : / / s c h e m a s . d a t a c o n t r a c t . o r g / 2 0 0 4 / 0 7 / S y s t e m . W i n d o w s " > < b : P o i n t > < b : _ x > 4 2 9 . 2 0 0 0 0 0 0 3 8 1 5 5 8 5 < / b : _ x > < b : _ y > 3 1 6 . 7 1 2 4 5 9 0 5 0 6 9 8 9 < / b : _ y > < / b : P o i n t > < b : P o i n t > < b : _ x > 4 2 9 . 2 0 0 0 0 0 0 3 8 1 5 5 8 5 < / b : _ x > < b : _ y > 2 4 3 . 7 4 4 8 1 5 < / b : _ y > < / b : P o i n t > < b : P o i n t > < b : _ x > 4 2 7 . 2 0 0 0 0 0 0 3 8 1 5 5 8 5 < / b : _ x > < b : _ y > 2 4 1 . 7 4 4 8 1 5 < / b : _ y > < / b : P o i n t > < b : P o i n t > < b : _ x > 3 2 7 . 0 0 7 6 2 1 0 6 1 3 6 8 5 8 < / b : _ x > < b : _ y > 2 4 1 . 7 4 4 8 1 5 < / b : _ y > < / b : P o i n t > < b : P o i n t > < b : _ x > 3 2 5 . 0 0 7 6 2 1 0 6 1 3 6 8 5 8 < / b : _ x > < b : _ y > 2 3 9 . 7 4 4 8 1 5 < / b : _ y > < / b : P o i n t > < b : P o i n t > < b : _ x > 3 2 5 . 0 0 7 6 2 1 0 6 1 3 6 8 5 8 < / b : _ x > < b : _ y > 1 6 5 . 9 9 9 9 9 9 9 9 9 9 9 9 9 4 < / b : _ y > < / b : P o i n t > < / P o i n t s > < / a : V a l u e > < / a : K e y V a l u e O f D i a g r a m O b j e c t K e y a n y T y p e z b w N T n L X > < a : K e y V a l u e O f D i a g r a m O b j e c t K e y a n y T y p e z b w N T n L X > < a : K e y > < K e y > R e l a t i o n s h i p s \ & l t ; T a b l e s \ P l a n   D a t a \ C o l u m n s \ M o n t h & g t ; - & l t ; T a b l e s \ Y e a r \ C o l u m n s \ Y e a r & g t ; < / K e y > < / a : K e y > < a : V a l u e   i : t y p e = " D i a g r a m D i s p l a y L i n k V i e w S t a t e " > < A u t o m a t i o n P r o p e r t y H e l p e r T e x t > E n d   p o i n t   1 :   ( 4 0 9 . 2 0 0 0 0 0 0 3 8 1 5 6 , 3 1 6 . 7 1 2 4 5 9 0 5 0 6 9 9 ) .   E n d   p o i n t   2 :   ( 3 0 5 . 0 0 7 6 2 1 0 6 1 3 6 9 , 1 6 6 )   < / A u t o m a t i o n P r o p e r t y H e l p e r T e x t > < L a y e d O u t > t r u e < / L a y e d O u t > < P o i n t s   x m l n s : b = " h t t p : / / s c h e m a s . d a t a c o n t r a c t . o r g / 2 0 0 4 / 0 7 / S y s t e m . W i n d o w s " > < b : P o i n t > < b : _ x > 4 0 9 . 2 0 0 0 0 0 0 3 8 1 5 5 8 5 < / b : _ x > < b : _ y > 3 1 6 . 7 1 2 4 5 9 0 5 0 6 9 8 9 5 < / b : _ y > < / b : P o i n t > < b : P o i n t > < b : _ x > 4 0 9 . 2 0 0 0 0 0 0 3 8 1 5 5 8 5 < / b : _ x > < b : _ y > 2 4 8 . 7 4 4 8 1 5 < / b : _ y > < / b : P o i n t > < b : P o i n t > < b : _ x > 4 0 7 . 2 0 0 0 0 0 0 3 8 1 5 5 8 5 < / b : _ x > < b : _ y > 2 4 6 . 7 4 4 8 1 5 < / b : _ y > < / b : P o i n t > < b : P o i n t > < b : _ x > 3 0 7 . 0 0 7 6 2 1 0 6 1 3 6 8 5 8 < / b : _ x > < b : _ y > 2 4 6 . 7 4 4 8 1 5 < / b : _ y > < / b : P o i n t > < b : P o i n t > < b : _ x > 3 0 5 . 0 0 7 6 2 1 0 6 1 3 6 8 5 8 < / b : _ x > < b : _ y > 2 4 4 . 7 4 4 8 1 5 < / b : _ y > < / b : P o i n t > < b : P o i n t > < b : _ x > 3 0 5 . 0 0 7 6 2 1 0 6 1 3 6 8 5 8 < / b : _ x > < b : _ y > 1 6 6 < / b : _ y > < / b : P o i n t > < / P o i n t s > < / a : V a l u e > < / a : K e y V a l u e O f D i a g r a m O b j e c t K e y a n y T y p e z b w N T n L X > < a : K e y V a l u e O f D i a g r a m O b j e c t K e y a n y T y p e z b w N T n L X > < a : K e y > < K e y > R e l a t i o n s h i p s \ & l t ; T a b l e s \ P l a n   D a t a \ C o l u m n s \ M o n t h & g t ; - & l t ; T a b l e s \ Y e a r \ C o l u m n s \ Y e a r & g t ; \ F K < / K e y > < / a : K e y > < a : V a l u e   i : t y p e = " D i a g r a m D i s p l a y L i n k E n d p o i n t V i e w S t a t e " > < H e i g h t > 1 6 < / H e i g h t > < L a b e l L o c a t i o n   x m l n s : b = " h t t p : / / s c h e m a s . d a t a c o n t r a c t . o r g / 2 0 0 4 / 0 7 / S y s t e m . W i n d o w s " > < b : _ x > 4 0 1 . 2 0 0 0 0 0 0 3 8 1 5 5 8 5 < / b : _ x > < b : _ y > 3 1 6 . 7 1 2 4 5 9 0 5 0 6 9 8 9 5 < / b : _ y > < / L a b e l L o c a t i o n > < L o c a t i o n   x m l n s : b = " h t t p : / / s c h e m a s . d a t a c o n t r a c t . o r g / 2 0 0 4 / 0 7 / S y s t e m . W i n d o w s " > < b : _ x > 4 0 9 . 2 0 0 0 0 0 0 3 8 1 5 5 8 5 < / b : _ x > < b : _ y > 3 3 2 . 7 1 2 4 5 9 0 5 0 6 9 8 9 5 < / b : _ y > < / L o c a t i o n > < S h a p e R o t a t e A n g l e > 2 7 0 < / S h a p e R o t a t e A n g l e > < W i d t h > 1 6 < / W i d t h > < / a : V a l u e > < / a : K e y V a l u e O f D i a g r a m O b j e c t K e y a n y T y p e z b w N T n L X > < a : K e y V a l u e O f D i a g r a m O b j e c t K e y a n y T y p e z b w N T n L X > < a : K e y > < K e y > R e l a t i o n s h i p s \ & l t ; T a b l e s \ P l a n   D a t a \ C o l u m n s \ M o n t h & g t ; - & l t ; T a b l e s \ Y e a r \ C o l u m n s \ Y e a r & g t ; \ P K < / K e y > < / a : K e y > < a : V a l u e   i : t y p e = " D i a g r a m D i s p l a y L i n k E n d p o i n t V i e w S t a t e " > < H e i g h t > 1 6 < / H e i g h t > < L a b e l L o c a t i o n   x m l n s : b = " h t t p : / / s c h e m a s . d a t a c o n t r a c t . o r g / 2 0 0 4 / 0 7 / S y s t e m . W i n d o w s " > < b : _ x > 2 9 7 . 0 0 7 6 2 1 0 6 1 3 6 8 5 8 < / b : _ x > < b : _ y > 1 5 0 < / b : _ y > < / L a b e l L o c a t i o n > < L o c a t i o n   x m l n s : b = " h t t p : / / s c h e m a s . d a t a c o n t r a c t . o r g / 2 0 0 4 / 0 7 / S y s t e m . W i n d o w s " > < b : _ x > 3 0 5 . 0 0 7 6 2 1 0 6 1 3 6 8 5 8 < / b : _ x > < b : _ y > 1 5 0 < / b : _ y > < / L o c a t i o n > < S h a p e R o t a t e A n g l e > 9 0 < / S h a p e R o t a t e A n g l e > < W i d t h > 1 6 < / W i d t h > < / a : V a l u e > < / a : K e y V a l u e O f D i a g r a m O b j e c t K e y a n y T y p e z b w N T n L X > < a : K e y V a l u e O f D i a g r a m O b j e c t K e y a n y T y p e z b w N T n L X > < a : K e y > < K e y > R e l a t i o n s h i p s \ & l t ; T a b l e s \ P l a n   D a t a \ C o l u m n s \ M o n t h & g t ; - & l t ; T a b l e s \ Y e a r \ C o l u m n s \ Y e a r & g t ; \ C r o s s F i l t e r < / K e y > < / a : K e y > < a : V a l u e   i : t y p e = " D i a g r a m D i s p l a y L i n k C r o s s F i l t e r V i e w S t a t e " > < P o i n t s   x m l n s : b = " h t t p : / / s c h e m a s . d a t a c o n t r a c t . o r g / 2 0 0 4 / 0 7 / S y s t e m . W i n d o w s " > < b : P o i n t > < b : _ x > 4 0 9 . 2 0 0 0 0 0 0 3 8 1 5 5 8 5 < / b : _ x > < b : _ y > 3 1 6 . 7 1 2 4 5 9 0 5 0 6 9 8 9 5 < / b : _ y > < / b : P o i n t > < b : P o i n t > < b : _ x > 4 0 9 . 2 0 0 0 0 0 0 3 8 1 5 5 8 5 < / b : _ x > < b : _ y > 2 4 8 . 7 4 4 8 1 5 < / b : _ y > < / b : P o i n t > < b : P o i n t > < b : _ x > 4 0 7 . 2 0 0 0 0 0 0 3 8 1 5 5 8 5 < / b : _ x > < b : _ y > 2 4 6 . 7 4 4 8 1 5 < / b : _ y > < / b : P o i n t > < b : P o i n t > < b : _ x > 3 0 7 . 0 0 7 6 2 1 0 6 1 3 6 8 5 8 < / b : _ x > < b : _ y > 2 4 6 . 7 4 4 8 1 5 < / b : _ y > < / b : P o i n t > < b : P o i n t > < b : _ x > 3 0 5 . 0 0 7 6 2 1 0 6 1 3 6 8 5 8 < / b : _ x > < b : _ y > 2 4 4 . 7 4 4 8 1 5 < / b : _ y > < / b : P o i n t > < b : P o i n t > < b : _ x > 3 0 5 . 0 0 7 6 2 1 0 6 1 3 6 8 5 8 < / b : _ x > < b : _ y > 1 6 6 < / b : _ y > < / b : P o i n t > < / P o i n t s > < / a : V a l u e > < / a : K e y V a l u e O f D i a g r a m O b j e c t K e y a n y T y p e z b w N T n L X > < a : K e y V a l u e O f D i a g r a m O b j e c t K e y a n y T y p e z b w N T n L X > < a : K e y > < K e y > R e l a t i o n s h i p s \ & l t ; T a b l e s \ P l a n   D a t a \ C o l u m n s \ Y e a r & g t ; - & l t ; T a b l e s \ M o n t h \ C o l u m n s \ M o n t h & g t ; < / K e y > < / a : K e y > < a : V a l u e   i : t y p e = " D i a g r a m D i s p l a y L i n k V i e w S t a t e " > < A u t o m a t i o n P r o p e r t y H e l p e r T e x t > E n d   p o i n t   1 :   ( 4 4 9 . 2 0 0 0 0 0 0 3 8 1 5 6 , 3 1 6 . 7 1 2 4 5 9 0 5 0 6 9 9 ) .   E n d   p o i n t   2 :   ( 5 3 9 . 5 0 3 8 1 1 , 1 6 6 )   < / A u t o m a t i o n P r o p e r t y H e l p e r T e x t > < L a y e d O u t > t r u e < / L a y e d O u t > < P o i n t s   x m l n s : b = " h t t p : / / s c h e m a s . d a t a c o n t r a c t . o r g / 2 0 0 4 / 0 7 / S y s t e m . W i n d o w s " > < b : P o i n t > < b : _ x > 4 4 9 . 2 0 0 0 0 0 0 3 8 1 5 5 8 5 < / b : _ x > < b : _ y > 3 1 6 . 7 1 2 4 5 9 0 5 0 6 9 8 8 4 < / b : _ y > < / b : P o i n t > < b : P o i n t > < b : _ x > 4 4 9 . 2 0 0 0 0 0 0 3 8 1 5 5 8 5 < / b : _ x > < b : _ y > 1 7 8 . 7 4 4 8 1 5 < / b : _ y > < / b : P o i n t > < b : P o i n t > < b : _ x > 4 5 1 . 2 0 0 0 0 0 0 3 8 1 5 5 8 5 < / b : _ x > < b : _ y > 1 7 6 . 7 4 4 8 1 5 < / b : _ y > < / b : P o i n t > < b : P o i n t > < b : _ x > 5 3 7 . 5 0 3 8 1 1 < / b : _ x > < b : _ y > 1 7 6 . 7 4 4 8 1 5 < / b : _ y > < / b : P o i n t > < b : P o i n t > < b : _ x > 5 3 9 . 5 0 3 8 1 1 < / b : _ x > < b : _ y > 1 7 4 . 7 4 4 8 1 5 < / b : _ y > < / b : P o i n t > < b : P o i n t > < b : _ x > 5 3 9 . 5 0 3 8 1 1 < / b : _ x > < b : _ y > 1 6 5 . 9 9 9 9 9 9 9 9 9 9 9 9 9 4 < / b : _ y > < / b : P o i n t > < / P o i n t s > < / a : V a l u e > < / a : K e y V a l u e O f D i a g r a m O b j e c t K e y a n y T y p e z b w N T n L X > < a : K e y V a l u e O f D i a g r a m O b j e c t K e y a n y T y p e z b w N T n L X > < a : K e y > < K e y > R e l a t i o n s h i p s \ & l t ; T a b l e s \ P l a n   D a t a \ C o l u m n s \ Y e a r & g t ; - & l t ; T a b l e s \ M o n t h \ C o l u m n s \ M o n t h & g t ; \ F K < / K e y > < / a : K e y > < a : V a l u e   i : t y p e = " D i a g r a m D i s p l a y L i n k E n d p o i n t V i e w S t a t e " > < H e i g h t > 1 6 < / H e i g h t > < L a b e l L o c a t i o n   x m l n s : b = " h t t p : / / s c h e m a s . d a t a c o n t r a c t . o r g / 2 0 0 4 / 0 7 / S y s t e m . W i n d o w s " > < b : _ x > 4 4 1 . 2 0 0 0 0 0 0 3 8 1 5 5 8 5 < / b : _ x > < b : _ y > 3 1 6 . 7 1 2 4 5 9 0 5 0 6 9 8 8 4 < / b : _ y > < / L a b e l L o c a t i o n > < L o c a t i o n   x m l n s : b = " h t t p : / / s c h e m a s . d a t a c o n t r a c t . o r g / 2 0 0 4 / 0 7 / S y s t e m . W i n d o w s " > < b : _ x > 4 4 9 . 2 0 0 0 0 0 0 3 8 1 5 5 8 5 < / b : _ x > < b : _ y > 3 3 2 . 7 1 2 4 5 9 0 5 0 6 9 8 8 4 < / b : _ y > < / L o c a t i o n > < S h a p e R o t a t e A n g l e > 2 7 0 < / S h a p e R o t a t e A n g l e > < W i d t h > 1 6 < / W i d t h > < / a : V a l u e > < / a : K e y V a l u e O f D i a g r a m O b j e c t K e y a n y T y p e z b w N T n L X > < a : K e y V a l u e O f D i a g r a m O b j e c t K e y a n y T y p e z b w N T n L X > < a : K e y > < K e y > R e l a t i o n s h i p s \ & l t ; T a b l e s \ P l a n   D a t a \ C o l u m n s \ Y e a r & g t ; - & l t ; T a b l e s \ M o n t h \ C o l u m n s \ M o n t h & g t ; \ P K < / K e y > < / a : K e y > < a : V a l u e   i : t y p e = " D i a g r a m D i s p l a y L i n k E n d p o i n t V i e w S t a t e " > < H e i g h t > 1 6 < / H e i g h t > < L a b e l L o c a t i o n   x m l n s : b = " h t t p : / / s c h e m a s . d a t a c o n t r a c t . o r g / 2 0 0 4 / 0 7 / S y s t e m . W i n d o w s " > < b : _ x > 5 3 1 . 5 0 3 8 1 1 < / b : _ x > < b : _ y > 1 4 9 . 9 9 9 9 9 9 9 9 9 9 9 9 9 4 < / b : _ y > < / L a b e l L o c a t i o n > < L o c a t i o n   x m l n s : b = " h t t p : / / s c h e m a s . d a t a c o n t r a c t . o r g / 2 0 0 4 / 0 7 / S y s t e m . W i n d o w s " > < b : _ x > 5 3 9 . 5 0 3 8 1 1 < / b : _ x > < b : _ y > 1 4 9 . 9 9 9 9 9 9 9 9 9 9 9 9 9 4 < / b : _ y > < / L o c a t i o n > < S h a p e R o t a t e A n g l e > 9 0 < / S h a p e R o t a t e A n g l e > < W i d t h > 1 6 < / W i d t h > < / a : V a l u e > < / a : K e y V a l u e O f D i a g r a m O b j e c t K e y a n y T y p e z b w N T n L X > < a : K e y V a l u e O f D i a g r a m O b j e c t K e y a n y T y p e z b w N T n L X > < a : K e y > < K e y > R e l a t i o n s h i p s \ & l t ; T a b l e s \ P l a n   D a t a \ C o l u m n s \ Y e a r & g t ; - & l t ; T a b l e s \ M o n t h \ C o l u m n s \ M o n t h & g t ; \ C r o s s F i l t e r < / K e y > < / a : K e y > < a : V a l u e   i : t y p e = " D i a g r a m D i s p l a y L i n k C r o s s F i l t e r V i e w S t a t e " > < P o i n t s   x m l n s : b = " h t t p : / / s c h e m a s . d a t a c o n t r a c t . o r g / 2 0 0 4 / 0 7 / S y s t e m . W i n d o w s " > < b : P o i n t > < b : _ x > 4 4 9 . 2 0 0 0 0 0 0 3 8 1 5 5 8 5 < / b : _ x > < b : _ y > 3 1 6 . 7 1 2 4 5 9 0 5 0 6 9 8 8 4 < / b : _ y > < / b : P o i n t > < b : P o i n t > < b : _ x > 4 4 9 . 2 0 0 0 0 0 0 3 8 1 5 5 8 5 < / b : _ x > < b : _ y > 1 7 8 . 7 4 4 8 1 5 < / b : _ y > < / b : P o i n t > < b : P o i n t > < b : _ x > 4 5 1 . 2 0 0 0 0 0 0 3 8 1 5 5 8 5 < / b : _ x > < b : _ y > 1 7 6 . 7 4 4 8 1 5 < / b : _ y > < / b : P o i n t > < b : P o i n t > < b : _ x > 5 3 7 . 5 0 3 8 1 1 < / b : _ x > < b : _ y > 1 7 6 . 7 4 4 8 1 5 < / b : _ y > < / b : P o i n t > < b : P o i n t > < b : _ x > 5 3 9 . 5 0 3 8 1 1 < / b : _ x > < b : _ y > 1 7 4 . 7 4 4 8 1 5 < / b : _ y > < / b : P o i n t > < b : P o i n t > < b : _ x > 5 3 9 . 5 0 3 8 1 1 < / b : _ x > < b : _ y > 1 6 5 . 9 9 9 9 9 9 9 9 9 9 9 9 9 4 < / b : _ y > < / b : P o i n t > < / P o i n t s > < / a : V a l u e > < / a : K e y V a l u e O f D i a g r a m O b j e c t K e y a n y T y p e z b w N T n L X > < a : K e y V a l u e O f D i a g r a m O b j e c t K e y a n y T y p e z b w N T n L X > < a : K e y > < K e y > R e l a t i o n s h i p s \ & l t ; T a b l e s \ D a t a \ C o l u m n s \ C a t e g o r y & g t ; - & l t ; T a b l e s \ C a t e g o r y \ C o l u m n s \ C a t e g o r y & g t ; < / K e y > < / a : K e y > < a : V a l u e   i : t y p e = " D i a g r a m D i s p l a y L i n k V i e w S t a t e " > < A u t o m a t i o n P r o p e r t y H e l p e r T e x t > E n d   p o i n t   1 :   ( 9 6 6 . 5 0 3 8 1 1 , 2 4 0 . 2 4 4 8 1 5 4 0 8 4 9 7 ) .   E n d   p o i n t   2 :   ( 7 4 6 . 5 0 3 8 1 1 , 1 6 6 )   < / A u t o m a t i o n P r o p e r t y H e l p e r T e x t > < L a y e d O u t > t r u e < / L a y e d O u t > < P o i n t s   x m l n s : b = " h t t p : / / s c h e m a s . d a t a c o n t r a c t . o r g / 2 0 0 4 / 0 7 / S y s t e m . W i n d o w s " > < b : P o i n t > < b : _ x > 9 6 6 . 5 0 3 8 1 1 < / b : _ x > < b : _ y > 2 4 0 . 2 4 4 8 1 5 4 0 8 4 9 6 8 3 < / b : _ y > < / b : P o i n t > < b : P o i n t > < b : _ x > 9 6 6 . 5 0 3 8 1 1 < / b : _ x > < b : _ y > 1 8 8 . 7 4 4 8 1 5 < / b : _ y > < / b : P o i n t > < b : P o i n t > < b : _ x > 9 6 4 . 5 0 3 8 1 1 < / b : _ x > < b : _ y > 1 8 6 . 7 4 4 8 1 5 < / b : _ y > < / b : P o i n t > < b : P o i n t > < b : _ x > 7 4 8 . 5 0 3 8 1 1 < / b : _ x > < b : _ y > 1 8 6 . 7 4 4 8 1 5 < / b : _ y > < / b : P o i n t > < b : P o i n t > < b : _ x > 7 4 6 . 5 0 3 8 1 1 < / b : _ x > < b : _ y > 1 8 4 . 7 4 4 8 1 5 < / b : _ y > < / b : P o i n t > < b : P o i n t > < b : _ x > 7 4 6 . 5 0 3 8 1 1 < / b : _ x > < b : _ y > 1 6 6 < / b : _ y > < / b : P o i n t > < / P o i n t s > < / a : V a l u e > < / a : K e y V a l u e O f D i a g r a m O b j e c t K e y a n y T y p e z b w N T n L X > < a : K e y V a l u e O f D i a g r a m O b j e c t K e y a n y T y p e z b w N T n L X > < a : K e y > < K e y > R e l a t i o n s h i p s \ & l t ; T a b l e s \ D a t a \ C o l u m n s \ C a t e g o r y & g t ; - & l t ; T a b l e s \ C a t e g o r y \ C o l u m n s \ C a t e g o r y & g t ; \ F K < / K e y > < / a : K e y > < a : V a l u e   i : t y p e = " D i a g r a m D i s p l a y L i n k E n d p o i n t V i e w S t a t e " > < H e i g h t > 1 6 < / H e i g h t > < L a b e l L o c a t i o n   x m l n s : b = " h t t p : / / s c h e m a s . d a t a c o n t r a c t . o r g / 2 0 0 4 / 0 7 / S y s t e m . W i n d o w s " > < b : _ x > 9 5 8 . 5 0 3 8 1 1 < / b : _ x > < b : _ y > 2 4 0 . 2 4 4 8 1 5 4 0 8 4 9 6 8 3 < / b : _ y > < / L a b e l L o c a t i o n > < L o c a t i o n   x m l n s : b = " h t t p : / / s c h e m a s . d a t a c o n t r a c t . o r g / 2 0 0 4 / 0 7 / S y s t e m . W i n d o w s " > < b : _ x > 9 6 6 . 5 0 3 8 1 1 < / b : _ x > < b : _ y > 2 5 6 . 2 4 4 8 1 5 4 0 8 4 9 6 8 3 < / b : _ y > < / L o c a t i o n > < S h a p e R o t a t e A n g l e > 2 7 0 < / S h a p e R o t a t e A n g l e > < W i d t h > 1 6 < / W i d t h > < / a : V a l u e > < / a : K e y V a l u e O f D i a g r a m O b j e c t K e y a n y T y p e z b w N T n L X > < a : K e y V a l u e O f D i a g r a m O b j e c t K e y a n y T y p e z b w N T n L X > < a : K e y > < K e y > R e l a t i o n s h i p s \ & l t ; T a b l e s \ D a t a \ C o l u m n s \ C a t e g o r y & g t ; - & l t ; T a b l e s \ C a t e g o r y \ C o l u m n s \ C a t e g o r y & g t ; \ P K < / K e y > < / a : K e y > < a : V a l u e   i : t y p e = " D i a g r a m D i s p l a y L i n k E n d p o i n t V i e w S t a t e " > < H e i g h t > 1 6 < / H e i g h t > < L a b e l L o c a t i o n   x m l n s : b = " h t t p : / / s c h e m a s . d a t a c o n t r a c t . o r g / 2 0 0 4 / 0 7 / S y s t e m . W i n d o w s " > < b : _ x > 7 3 8 . 5 0 3 8 1 1 < / b : _ x > < b : _ y > 1 5 0 < / b : _ y > < / L a b e l L o c a t i o n > < L o c a t i o n   x m l n s : b = " h t t p : / / s c h e m a s . d a t a c o n t r a c t . o r g / 2 0 0 4 / 0 7 / S y s t e m . W i n d o w s " > < b : _ x > 7 4 6 . 5 0 3 8 1 1 < / b : _ x > < b : _ y > 1 5 0 < / b : _ y > < / L o c a t i o n > < S h a p e R o t a t e A n g l e > 9 0 < / S h a p e R o t a t e A n g l e > < W i d t h > 1 6 < / W i d t h > < / a : V a l u e > < / a : K e y V a l u e O f D i a g r a m O b j e c t K e y a n y T y p e z b w N T n L X > < a : K e y V a l u e O f D i a g r a m O b j e c t K e y a n y T y p e z b w N T n L X > < a : K e y > < K e y > R e l a t i o n s h i p s \ & l t ; T a b l e s \ D a t a \ C o l u m n s \ C a t e g o r y & g t ; - & l t ; T a b l e s \ C a t e g o r y \ C o l u m n s \ C a t e g o r y & g t ; \ C r o s s F i l t e r < / K e y > < / a : K e y > < a : V a l u e   i : t y p e = " D i a g r a m D i s p l a y L i n k C r o s s F i l t e r V i e w S t a t e " > < P o i n t s   x m l n s : b = " h t t p : / / s c h e m a s . d a t a c o n t r a c t . o r g / 2 0 0 4 / 0 7 / S y s t e m . W i n d o w s " > < b : P o i n t > < b : _ x > 9 6 6 . 5 0 3 8 1 1 < / b : _ x > < b : _ y > 2 4 0 . 2 4 4 8 1 5 4 0 8 4 9 6 8 3 < / b : _ y > < / b : P o i n t > < b : P o i n t > < b : _ x > 9 6 6 . 5 0 3 8 1 1 < / b : _ x > < b : _ y > 1 8 8 . 7 4 4 8 1 5 < / b : _ y > < / b : P o i n t > < b : P o i n t > < b : _ x > 9 6 4 . 5 0 3 8 1 1 < / b : _ x > < b : _ y > 1 8 6 . 7 4 4 8 1 5 < / b : _ y > < / b : P o i n t > < b : P o i n t > < b : _ x > 7 4 8 . 5 0 3 8 1 1 < / b : _ x > < b : _ y > 1 8 6 . 7 4 4 8 1 5 < / b : _ y > < / b : P o i n t > < b : P o i n t > < b : _ x > 7 4 6 . 5 0 3 8 1 1 < / b : _ x > < b : _ y > 1 8 4 . 7 4 4 8 1 5 < / b : _ y > < / b : P o i n t > < b : P o i n t > < b : _ x > 7 4 6 . 5 0 3 8 1 1 < / b : _ x > < b : _ y > 1 6 6 < / b : _ y > < / b : P o i n t > < / P o i n t s > < / a : V a l u e > < / a : K e y V a l u e O f D i a g r a m O b j e c t K e y a n y T y p e z b w N T n L X > < a : K e y V a l u e O f D i a g r a m O b j e c t K e y a n y T y p e z b w N T n L X > < a : K e y > < K e y > R e l a t i o n s h i p s \ & l t ; T a b l e s \ D a t a \ C o l u m n s \ Y e a r & g t ; - & l t ; T a b l e s \ Y e a r \ C o l u m n s \ Y e a r & g t ; < / K e y > < / a : K e y > < a : V a l u e   i : t y p e = " D i a g r a m D i s p l a y L i n k V i e w S t a t e " > < A u t o m a t i o n P r o p e r t y H e l p e r T e x t > E n d   p o i n t   1 :   ( 7 6 6 . 5 0 3 8 1 1 , 2 4 0 . 2 4 4 8 1 5 4 0 8 4 9 7 ) .   E n d   p o i n t   2 :   ( 3 4 5 . 0 0 7 6 2 1 0 6 1 3 6 9 , 1 6 6 )   < / A u t o m a t i o n P r o p e r t y H e l p e r T e x t > < L a y e d O u t > t r u e < / L a y e d O u t > < P o i n t s   x m l n s : b = " h t t p : / / s c h e m a s . d a t a c o n t r a c t . o r g / 2 0 0 4 / 0 7 / S y s t e m . W i n d o w s " > < b : P o i n t > < b : _ x > 7 6 6 . 5 0 3 8 1 1 < / b : _ x > < b : _ y > 2 4 0 . 2 4 4 8 1 5 4 0 8 4 9 6 8 3 < / b : _ y > < / b : P o i n t > < b : P o i n t > < b : _ x > 7 6 6 . 5 0 3 8 1 1 < / b : _ x > < b : _ y > 2 3 8 . 7 4 4 8 1 5 < / b : _ y > < / b : P o i n t > < b : P o i n t > < b : _ x > 7 6 4 . 5 0 3 8 1 1 < / b : _ x > < b : _ y > 2 3 6 . 7 4 4 8 1 5 < / b : _ y > < / b : P o i n t > < b : P o i n t > < b : _ x > 3 4 7 . 0 0 7 6 2 1 0 6 1 3 6 8 5 8 < / b : _ x > < b : _ y > 2 3 6 . 7 4 4 8 1 5 < / b : _ y > < / b : P o i n t > < b : P o i n t > < b : _ x > 3 4 5 . 0 0 7 6 2 1 0 6 1 3 6 8 5 8 < / b : _ x > < b : _ y > 2 3 4 . 7 4 4 8 1 5 < / b : _ y > < / b : P o i n t > < b : P o i n t > < b : _ x > 3 4 5 . 0 0 7 6 2 1 0 6 1 3 6 8 5 8 < / b : _ x > < b : _ y > 1 6 6 < / b : _ y > < / b : P o i n t > < / P o i n t s > < / a : V a l u e > < / a : K e y V a l u e O f D i a g r a m O b j e c t K e y a n y T y p e z b w N T n L X > < a : K e y V a l u e O f D i a g r a m O b j e c t K e y a n y T y p e z b w N T n L X > < a : K e y > < K e y > R e l a t i o n s h i p s \ & l t ; T a b l e s \ D a t a \ C o l u m n s \ Y e a r & g t ; - & l t ; T a b l e s \ Y e a r \ C o l u m n s \ Y e a r & g t ; \ F K < / K e y > < / a : K e y > < a : V a l u e   i : t y p e = " D i a g r a m D i s p l a y L i n k E n d p o i n t V i e w S t a t e " > < H e i g h t > 1 6 < / H e i g h t > < L a b e l L o c a t i o n   x m l n s : b = " h t t p : / / s c h e m a s . d a t a c o n t r a c t . o r g / 2 0 0 4 / 0 7 / S y s t e m . W i n d o w s " > < b : _ x > 7 5 8 . 5 0 3 8 1 1 < / b : _ x > < b : _ y > 2 4 0 . 2 4 4 8 1 5 4 0 8 4 9 6 8 3 < / b : _ y > < / L a b e l L o c a t i o n > < L o c a t i o n   x m l n s : b = " h t t p : / / s c h e m a s . d a t a c o n t r a c t . o r g / 2 0 0 4 / 0 7 / S y s t e m . W i n d o w s " > < b : _ x > 7 6 6 . 5 0 3 8 1 1 < / b : _ x > < b : _ y > 2 5 6 . 2 4 4 8 1 5 4 0 8 4 9 6 8 3 < / b : _ y > < / L o c a t i o n > < S h a p e R o t a t e A n g l e > 2 7 0 < / S h a p e R o t a t e A n g l e > < W i d t h > 1 6 < / W i d t h > < / a : V a l u e > < / a : K e y V a l u e O f D i a g r a m O b j e c t K e y a n y T y p e z b w N T n L X > < a : K e y V a l u e O f D i a g r a m O b j e c t K e y a n y T y p e z b w N T n L X > < a : K e y > < K e y > R e l a t i o n s h i p s \ & l t ; T a b l e s \ D a t a \ C o l u m n s \ Y e a r & g t ; - & l t ; T a b l e s \ Y e a r \ C o l u m n s \ Y e a r & g t ; \ P K < / K e y > < / a : K e y > < a : V a l u e   i : t y p e = " D i a g r a m D i s p l a y L i n k E n d p o i n t V i e w S t a t e " > < H e i g h t > 1 6 < / H e i g h t > < L a b e l L o c a t i o n   x m l n s : b = " h t t p : / / s c h e m a s . d a t a c o n t r a c t . o r g / 2 0 0 4 / 0 7 / S y s t e m . W i n d o w s " > < b : _ x > 3 3 7 . 0 0 7 6 2 1 0 6 1 3 6 8 5 8 < / b : _ x > < b : _ y > 1 5 0 < / b : _ y > < / L a b e l L o c a t i o n > < L o c a t i o n   x m l n s : b = " h t t p : / / s c h e m a s . d a t a c o n t r a c t . o r g / 2 0 0 4 / 0 7 / S y s t e m . W i n d o w s " > < b : _ x > 3 4 5 . 0 0 7 6 2 1 0 6 1 3 6 8 5 8 < / b : _ x > < b : _ y > 1 5 0 . 0 0 0 0 0 0 0 0 0 0 0 0 0 6 < / b : _ y > < / L o c a t i o n > < S h a p e R o t a t e A n g l e > 9 0 < / S h a p e R o t a t e A n g l e > < W i d t h > 1 6 < / W i d t h > < / a : V a l u e > < / a : K e y V a l u e O f D i a g r a m O b j e c t K e y a n y T y p e z b w N T n L X > < a : K e y V a l u e O f D i a g r a m O b j e c t K e y a n y T y p e z b w N T n L X > < a : K e y > < K e y > R e l a t i o n s h i p s \ & l t ; T a b l e s \ D a t a \ C o l u m n s \ Y e a r & g t ; - & l t ; T a b l e s \ Y e a r \ C o l u m n s \ Y e a r & g t ; \ C r o s s F i l t e r < / K e y > < / a : K e y > < a : V a l u e   i : t y p e = " D i a g r a m D i s p l a y L i n k C r o s s F i l t e r V i e w S t a t e " > < P o i n t s   x m l n s : b = " h t t p : / / s c h e m a s . d a t a c o n t r a c t . o r g / 2 0 0 4 / 0 7 / S y s t e m . W i n d o w s " > < b : P o i n t > < b : _ x > 7 6 6 . 5 0 3 8 1 1 < / b : _ x > < b : _ y > 2 4 0 . 2 4 4 8 1 5 4 0 8 4 9 6 8 3 < / b : _ y > < / b : P o i n t > < b : P o i n t > < b : _ x > 7 6 6 . 5 0 3 8 1 1 < / b : _ x > < b : _ y > 2 3 8 . 7 4 4 8 1 5 < / b : _ y > < / b : P o i n t > < b : P o i n t > < b : _ x > 7 6 4 . 5 0 3 8 1 1 < / b : _ x > < b : _ y > 2 3 6 . 7 4 4 8 1 5 < / b : _ y > < / b : P o i n t > < b : P o i n t > < b : _ x > 3 4 7 . 0 0 7 6 2 1 0 6 1 3 6 8 5 8 < / b : _ x > < b : _ y > 2 3 6 . 7 4 4 8 1 5 < / b : _ y > < / b : P o i n t > < b : P o i n t > < b : _ x > 3 4 5 . 0 0 7 6 2 1 0 6 1 3 6 8 5 8 < / b : _ x > < b : _ y > 2 3 4 . 7 4 4 8 1 5 < / b : _ y > < / b : P o i n t > < b : P o i n t > < b : _ x > 3 4 5 . 0 0 7 6 2 1 0 6 1 3 6 8 5 8 < / b : _ x > < b : _ y > 1 6 6 < / b : _ y > < / b : P o i n t > < / P o i n t s > < / a : V a l u e > < / a : K e y V a l u e O f D i a g r a m O b j e c t K e y a n y T y p e z b w N T n L X > < a : K e y V a l u e O f D i a g r a m O b j e c t K e y a n y T y p e z b w N T n L X > < a : K e y > < K e y > R e l a t i o n s h i p s \ & l t ; T a b l e s \ D a t a \ C o l u m n s \ M o n t h & g t ; - & l t ; T a b l e s \ M o n t h \ C o l u m n s \ M o n t h & g t ; < / K e y > < / a : K e y > < a : V a l u e   i : t y p e = " D i a g r a m D i s p l a y L i n k V i e w S t a t e " > < A u t o m a t i o n P r o p e r t y H e l p e r T e x t > E n d   p o i n t   1 :   ( 9 0 6 . 5 0 3 8 1 1 , 2 4 0 . 2 4 4 8 1 5 4 0 8 4 9 7 ) .   E n d   p o i n t   2 :   ( 6 1 9 . 5 0 3 8 1 1 , 1 6 6 )   < / A u t o m a t i o n P r o p e r t y H e l p e r T e x t > < L a y e d O u t > t r u e < / L a y e d O u t > < P o i n t s   x m l n s : b = " h t t p : / / s c h e m a s . d a t a c o n t r a c t . o r g / 2 0 0 4 / 0 7 / S y s t e m . W i n d o w s " > < b : P o i n t > < b : _ x > 9 0 6 . 5 0 3 8 1 1 < / b : _ x > < b : _ y > 2 4 0 . 2 4 4 8 1 5 4 0 8 4 9 6 8 3 < / b : _ y > < / b : P o i n t > < b : P o i n t > < b : _ x > 9 0 6 . 5 0 3 8 1 1 < / b : _ x > < b : _ y > 2 0 3 . 7 4 4 8 1 5 < / b : _ y > < / b : P o i n t > < b : P o i n t > < b : _ x > 9 0 4 . 5 0 3 8 1 1 < / b : _ x > < b : _ y > 2 0 1 . 7 4 4 8 1 5 < / b : _ y > < / b : P o i n t > < b : P o i n t > < b : _ x > 6 2 1 . 5 0 3 8 1 1 < / b : _ x > < b : _ y > 2 0 1 . 7 4 4 8 1 5 < / b : _ y > < / b : P o i n t > < b : P o i n t > < b : _ x > 6 1 9 . 5 0 3 8 1 1 < / b : _ x > < b : _ y > 1 9 9 . 7 4 4 8 1 5 < / b : _ y > < / b : P o i n t > < b : P o i n t > < b : _ x > 6 1 9 . 5 0 3 8 1 1 < / b : _ x > < b : _ y > 1 6 6 < / b : _ y > < / b : P o i n t > < / P o i n t s > < / a : V a l u e > < / a : K e y V a l u e O f D i a g r a m O b j e c t K e y a n y T y p e z b w N T n L X > < a : K e y V a l u e O f D i a g r a m O b j e c t K e y a n y T y p e z b w N T n L X > < a : K e y > < K e y > R e l a t i o n s h i p s \ & l t ; T a b l e s \ D a t a \ C o l u m n s \ M o n t h & g t ; - & l t ; T a b l e s \ M o n t h \ C o l u m n s \ M o n t h & g t ; \ F K < / K e y > < / a : K e y > < a : V a l u e   i : t y p e = " D i a g r a m D i s p l a y L i n k E n d p o i n t V i e w S t a t e " > < H e i g h t > 1 6 < / H e i g h t > < L a b e l L o c a t i o n   x m l n s : b = " h t t p : / / s c h e m a s . d a t a c o n t r a c t . o r g / 2 0 0 4 / 0 7 / S y s t e m . W i n d o w s " > < b : _ x > 8 9 8 . 5 0 3 8 1 1 < / b : _ x > < b : _ y > 2 4 0 . 2 4 4 8 1 5 4 0 8 4 9 6 8 3 < / b : _ y > < / L a b e l L o c a t i o n > < L o c a t i o n   x m l n s : b = " h t t p : / / s c h e m a s . d a t a c o n t r a c t . o r g / 2 0 0 4 / 0 7 / S y s t e m . W i n d o w s " > < b : _ x > 9 0 6 . 5 0 3 8 1 1 < / b : _ x > < b : _ y > 2 5 6 . 2 4 4 8 1 5 4 0 8 4 9 6 8 3 < / b : _ y > < / L o c a t i o n > < S h a p e R o t a t e A n g l e > 2 7 0 < / S h a p e R o t a t e A n g l e > < W i d t h > 1 6 < / W i d t h > < / a : V a l u e > < / a : K e y V a l u e O f D i a g r a m O b j e c t K e y a n y T y p e z b w N T n L X > < a : K e y V a l u e O f D i a g r a m O b j e c t K e y a n y T y p e z b w N T n L X > < a : K e y > < K e y > R e l a t i o n s h i p s \ & l t ; T a b l e s \ D a t a \ C o l u m n s \ M o n t h & g t ; - & l t ; T a b l e s \ M o n t h \ C o l u m n s \ M o n t h & g t ; \ P K < / K e y > < / a : K e y > < a : V a l u e   i : t y p e = " D i a g r a m D i s p l a y L i n k E n d p o i n t V i e w S t a t e " > < H e i g h t > 1 6 < / H e i g h t > < L a b e l L o c a t i o n   x m l n s : b = " h t t p : / / s c h e m a s . d a t a c o n t r a c t . o r g / 2 0 0 4 / 0 7 / S y s t e m . W i n d o w s " > < b : _ x > 6 1 1 . 5 0 3 8 1 1 < / b : _ x > < b : _ y > 1 5 0 < / b : _ y > < / L a b e l L o c a t i o n > < L o c a t i o n   x m l n s : b = " h t t p : / / s c h e m a s . d a t a c o n t r a c t . o r g / 2 0 0 4 / 0 7 / S y s t e m . W i n d o w s " > < b : _ x > 6 1 9 . 5 0 3 8 1 1 < / b : _ x > < b : _ y > 1 5 0 . 0 0 0 0 0 0 0 0 0 0 0 0 0 3 < / b : _ y > < / L o c a t i o n > < S h a p e R o t a t e A n g l e > 9 0 < / S h a p e R o t a t e A n g l e > < W i d t h > 1 6 < / W i d t h > < / a : V a l u e > < / a : K e y V a l u e O f D i a g r a m O b j e c t K e y a n y T y p e z b w N T n L X > < a : K e y V a l u e O f D i a g r a m O b j e c t K e y a n y T y p e z b w N T n L X > < a : K e y > < K e y > R e l a t i o n s h i p s \ & l t ; T a b l e s \ D a t a \ C o l u m n s \ M o n t h & g t ; - & l t ; T a b l e s \ M o n t h \ C o l u m n s \ M o n t h & g t ; \ C r o s s F i l t e r < / K e y > < / a : K e y > < a : V a l u e   i : t y p e = " D i a g r a m D i s p l a y L i n k C r o s s F i l t e r V i e w S t a t e " > < P o i n t s   x m l n s : b = " h t t p : / / s c h e m a s . d a t a c o n t r a c t . o r g / 2 0 0 4 / 0 7 / S y s t e m . W i n d o w s " > < b : P o i n t > < b : _ x > 9 0 6 . 5 0 3 8 1 1 < / b : _ x > < b : _ y > 2 4 0 . 2 4 4 8 1 5 4 0 8 4 9 6 8 3 < / b : _ y > < / b : P o i n t > < b : P o i n t > < b : _ x > 9 0 6 . 5 0 3 8 1 1 < / b : _ x > < b : _ y > 2 0 3 . 7 4 4 8 1 5 < / b : _ y > < / b : P o i n t > < b : P o i n t > < b : _ x > 9 0 4 . 5 0 3 8 1 1 < / b : _ x > < b : _ y > 2 0 1 . 7 4 4 8 1 5 < / b : _ y > < / b : P o i n t > < b : P o i n t > < b : _ x > 6 2 1 . 5 0 3 8 1 1 < / b : _ x > < b : _ y > 2 0 1 . 7 4 4 8 1 5 < / b : _ y > < / b : P o i n t > < b : P o i n t > < b : _ x > 6 1 9 . 5 0 3 8 1 1 < / b : _ x > < b : _ y > 1 9 9 . 7 4 4 8 1 5 < / b : _ y > < / b : P o i n t > < b : P o i n t > < b : _ x > 6 1 9 . 5 0 3 8 1 1 < / b : _ x > < b : _ y > 1 6 6 < / b : _ y > < / b : P o i n t > < / P o i n t s > < / a : V a l u e > < / a : K e y V a l u e O f D i a g r a m O b j e c t K e y a n y T y p e z b w N T n L X > < a : K e y V a l u e O f D i a g r a m O b j e c t K e y a n y T y p e z b w N T n L X > < a : K e y > < K e y > R e l a t i o n s h i p s \ & l t ; T a b l e s \ D a t a \ C o l u m n s \ D a t e   ( M o n t h ) & g t ; - & l t ; T a b l e s \ M o n t h \ C o l u m n s \ M o n t h & g t ; < / K e y > < / a : K e y > < a : V a l u e   i : t y p e = " D i a g r a m D i s p l a y L i n k V i e w S t a t e " > < A u t o m a t i o n P r o p e r t y H e l p e r T e x t > E n d   p o i n t   1 :   ( 9 2 6 . 5 0 3 8 1 1 , 2 4 0 . 2 4 4 8 1 5 4 0 8 4 9 7 ) .   E n d   p o i n t   2 :   ( 6 3 9 . 5 0 3 8 1 1 , 1 6 6 )   < / A u t o m a t i o n P r o p e r t y H e l p e r T e x t > < L a y e d O u t > t r u e < / L a y e d O u t > < P o i n t s   x m l n s : b = " h t t p : / / s c h e m a s . d a t a c o n t r a c t . o r g / 2 0 0 4 / 0 7 / S y s t e m . W i n d o w s " > < b : P o i n t > < b : _ x > 9 2 6 . 5 0 3 8 1 1 < / b : _ x > < b : _ y > 2 4 0 . 2 4 4 8 1 5 4 0 8 4 9 6 8 3 < / b : _ y > < / b : P o i n t > < b : P o i n t > < b : _ x > 9 2 6 . 5 0 3 8 1 1 < / b : _ x > < b : _ y > 1 9 8 . 7 4 4 8 1 5 < / b : _ y > < / b : P o i n t > < b : P o i n t > < b : _ x > 9 2 4 . 5 0 3 8 1 1 < / b : _ x > < b : _ y > 1 9 6 . 7 4 4 8 1 5 < / b : _ y > < / b : P o i n t > < b : P o i n t > < b : _ x > 6 4 1 . 5 0 3 8 1 1 < / b : _ x > < b : _ y > 1 9 6 . 7 4 4 8 1 5 < / b : _ y > < / b : P o i n t > < b : P o i n t > < b : _ x > 6 3 9 . 5 0 3 8 1 1 < / b : _ x > < b : _ y > 1 9 4 . 7 4 4 8 1 5 < / b : _ y > < / b : P o i n t > < b : P o i n t > < b : _ x > 6 3 9 . 5 0 3 8 1 1 < / b : _ x > < b : _ y > 1 6 6 . 0 0 0 0 0 0 0 0 0 0 0 0 0 6 < / b : _ y > < / b : P o i n t > < / P o i n t s > < / a : V a l u e > < / a : K e y V a l u e O f D i a g r a m O b j e c t K e y a n y T y p e z b w N T n L X > < a : K e y V a l u e O f D i a g r a m O b j e c t K e y a n y T y p e z b w N T n L X > < a : K e y > < K e y > R e l a t i o n s h i p s \ & l t ; T a b l e s \ D a t a \ C o l u m n s \ D a t e   ( M o n t h ) & g t ; - & l t ; T a b l e s \ M o n t h \ C o l u m n s \ M o n t h & g t ; \ F K < / K e y > < / a : K e y > < a : V a l u e   i : t y p e = " D i a g r a m D i s p l a y L i n k E n d p o i n t V i e w S t a t e " > < H e i g h t > 1 6 < / H e i g h t > < L a b e l L o c a t i o n   x m l n s : b = " h t t p : / / s c h e m a s . d a t a c o n t r a c t . o r g / 2 0 0 4 / 0 7 / S y s t e m . W i n d o w s " > < b : _ x > 9 1 8 . 5 0 3 8 1 1 < / b : _ x > < b : _ y > 2 4 0 . 2 4 4 8 1 5 4 0 8 4 9 6 8 3 < / b : _ y > < / L a b e l L o c a t i o n > < L o c a t i o n   x m l n s : b = " h t t p : / / s c h e m a s . d a t a c o n t r a c t . o r g / 2 0 0 4 / 0 7 / S y s t e m . W i n d o w s " > < b : _ x > 9 2 6 . 5 0 3 8 1 1 < / b : _ x > < b : _ y > 2 5 6 . 2 4 4 8 1 5 4 0 8 4 9 6 8 3 < / b : _ y > < / L o c a t i o n > < S h a p e R o t a t e A n g l e > 2 7 0 < / S h a p e R o t a t e A n g l e > < W i d t h > 1 6 < / W i d t h > < / a : V a l u e > < / a : K e y V a l u e O f D i a g r a m O b j e c t K e y a n y T y p e z b w N T n L X > < a : K e y V a l u e O f D i a g r a m O b j e c t K e y a n y T y p e z b w N T n L X > < a : K e y > < K e y > R e l a t i o n s h i p s \ & l t ; T a b l e s \ D a t a \ C o l u m n s \ D a t e   ( M o n t h ) & g t ; - & l t ; T a b l e s \ M o n t h \ C o l u m n s \ M o n t h & g t ; \ P K < / K e y > < / a : K e y > < a : V a l u e   i : t y p e = " D i a g r a m D i s p l a y L i n k E n d p o i n t V i e w S t a t e " > < H e i g h t > 1 6 < / H e i g h t > < L a b e l L o c a t i o n   x m l n s : b = " h t t p : / / s c h e m a s . d a t a c o n t r a c t . o r g / 2 0 0 4 / 0 7 / S y s t e m . W i n d o w s " > < b : _ x > 6 3 1 . 5 0 3 8 1 1 < / b : _ x > < b : _ y > 1 5 0 . 0 0 0 0 0 0 0 0 0 0 0 0 0 6 < / b : _ y > < / L a b e l L o c a t i o n > < L o c a t i o n   x m l n s : b = " h t t p : / / s c h e m a s . d a t a c o n t r a c t . o r g / 2 0 0 4 / 0 7 / S y s t e m . W i n d o w s " > < b : _ x > 6 3 9 . 5 0 3 8 1 1 < / b : _ x > < b : _ y > 1 5 0 . 0 0 0 0 0 0 0 0 0 0 0 0 0 6 < / b : _ y > < / L o c a t i o n > < S h a p e R o t a t e A n g l e > 9 0 < / S h a p e R o t a t e A n g l e > < W i d t h > 1 6 < / W i d t h > < / a : V a l u e > < / a : K e y V a l u e O f D i a g r a m O b j e c t K e y a n y T y p e z b w N T n L X > < a : K e y V a l u e O f D i a g r a m O b j e c t K e y a n y T y p e z b w N T n L X > < a : K e y > < K e y > R e l a t i o n s h i p s \ & l t ; T a b l e s \ D a t a \ C o l u m n s \ D a t e   ( M o n t h ) & g t ; - & l t ; T a b l e s \ M o n t h \ C o l u m n s \ M o n t h & g t ; \ C r o s s F i l t e r < / K e y > < / a : K e y > < a : V a l u e   i : t y p e = " D i a g r a m D i s p l a y L i n k C r o s s F i l t e r V i e w S t a t e " > < P o i n t s   x m l n s : b = " h t t p : / / s c h e m a s . d a t a c o n t r a c t . o r g / 2 0 0 4 / 0 7 / S y s t e m . W i n d o w s " > < b : P o i n t > < b : _ x > 9 2 6 . 5 0 3 8 1 1 < / b : _ x > < b : _ y > 2 4 0 . 2 4 4 8 1 5 4 0 8 4 9 6 8 3 < / b : _ y > < / b : P o i n t > < b : P o i n t > < b : _ x > 9 2 6 . 5 0 3 8 1 1 < / b : _ x > < b : _ y > 1 9 8 . 7 4 4 8 1 5 < / b : _ y > < / b : P o i n t > < b : P o i n t > < b : _ x > 9 2 4 . 5 0 3 8 1 1 < / b : _ x > < b : _ y > 1 9 6 . 7 4 4 8 1 5 < / b : _ y > < / b : P o i n t > < b : P o i n t > < b : _ x > 6 4 1 . 5 0 3 8 1 1 < / b : _ x > < b : _ y > 1 9 6 . 7 4 4 8 1 5 < / b : _ y > < / b : P o i n t > < b : P o i n t > < b : _ x > 6 3 9 . 5 0 3 8 1 1 < / b : _ x > < b : _ y > 1 9 4 . 7 4 4 8 1 5 < / b : _ y > < / b : P o i n t > < b : P o i n t > < b : _ x > 6 3 9 . 5 0 3 8 1 1 < / b : _ x > < b : _ y > 1 6 6 . 0 0 0 0 0 0 0 0 0 0 0 0 0 6 < / b : _ y > < / b : P o i n t > < / P o i n t s > < / a : V a l u e > < / a : K e y V a l u e O f D i a g r a m O b j e c t K e y a n y T y p e z b w N T n L X > < a : K e y V a l u e O f D i a g r a m O b j e c t K e y a n y T y p e z b w N T n L X > < a : K e y > < K e y > R e l a t i o n s h i p s \ & l t ; T a b l e s \ D a t a \ C o l u m n s \ D a t e   ( Y e a r ) & g t ; - & l t ; T a b l e s \ Y e a r \ C o l u m n s \ Y e a r & g t ; < / K e y > < / a : K e y > < a : V a l u e   i : t y p e = " D i a g r a m D i s p l a y L i n k V i e w S t a t e " > < A u t o m a t i o n P r o p e r t y H e l p e r T e x t > E n d   p o i n t   1 :   ( 7 8 6 . 5 0 3 8 1 1 , 2 4 0 . 2 4 4 8 1 5 4 0 8 4 9 7 ) .   E n d   p o i n t   2 :   ( 3 6 5 . 0 0 7 6 2 1 0 6 1 3 6 9 , 1 6 6 )   < / A u t o m a t i o n P r o p e r t y H e l p e r T e x t > < L a y e d O u t > t r u e < / L a y e d O u t > < P o i n t s   x m l n s : b = " h t t p : / / s c h e m a s . d a t a c o n t r a c t . o r g / 2 0 0 4 / 0 7 / S y s t e m . W i n d o w s " > < b : P o i n t > < b : _ x > 7 8 6 . 5 0 3 8 1 1 < / b : _ x > < b : _ y > 2 4 0 . 2 4 4 8 1 5 4 0 8 4 9 6 8 3 < / b : _ y > < / b : P o i n t > < b : P o i n t > < b : _ x > 7 8 6 . 5 0 3 8 1 1 < / b : _ x > < b : _ y > 2 3 3 . 7 4 4 8 1 5 < / b : _ y > < / b : P o i n t > < b : P o i n t > < b : _ x > 7 8 4 . 5 0 3 8 1 1 < / b : _ x > < b : _ y > 2 3 1 . 7 4 4 8 1 5 < / b : _ y > < / b : P o i n t > < b : P o i n t > < b : _ x > 3 6 7 . 0 0 7 6 2 1 0 6 1 3 6 8 5 8 < / b : _ x > < b : _ y > 2 3 1 . 7 4 4 8 1 5 < / b : _ y > < / b : P o i n t > < b : P o i n t > < b : _ x > 3 6 5 . 0 0 7 6 2 1 0 6 1 3 6 8 5 8 < / b : _ x > < b : _ y > 2 2 9 . 7 4 4 8 1 5 < / b : _ y > < / b : P o i n t > < b : P o i n t > < b : _ x > 3 6 5 . 0 0 7 6 2 1 0 6 1 3 6 8 5 8 < / b : _ x > < b : _ y > 1 6 5 . 9 9 9 9 9 9 9 9 9 9 9 9 9 7 < / b : _ y > < / b : P o i n t > < / P o i n t s > < / a : V a l u e > < / a : K e y V a l u e O f D i a g r a m O b j e c t K e y a n y T y p e z b w N T n L X > < a : K e y V a l u e O f D i a g r a m O b j e c t K e y a n y T y p e z b w N T n L X > < a : K e y > < K e y > R e l a t i o n s h i p s \ & l t ; T a b l e s \ D a t a \ C o l u m n s \ D a t e   ( Y e a r ) & g t ; - & l t ; T a b l e s \ Y e a r \ C o l u m n s \ Y e a r & g t ; \ F K < / K e y > < / a : K e y > < a : V a l u e   i : t y p e = " D i a g r a m D i s p l a y L i n k E n d p o i n t V i e w S t a t e " > < H e i g h t > 1 6 < / H e i g h t > < L a b e l L o c a t i o n   x m l n s : b = " h t t p : / / s c h e m a s . d a t a c o n t r a c t . o r g / 2 0 0 4 / 0 7 / S y s t e m . W i n d o w s " > < b : _ x > 7 7 8 . 5 0 3 8 1 1 < / b : _ x > < b : _ y > 2 4 0 . 2 4 4 8 1 5 4 0 8 4 9 6 8 3 < / b : _ y > < / L a b e l L o c a t i o n > < L o c a t i o n   x m l n s : b = " h t t p : / / s c h e m a s . d a t a c o n t r a c t . o r g / 2 0 0 4 / 0 7 / S y s t e m . W i n d o w s " > < b : _ x > 7 8 6 . 5 0 3 8 1 1 < / b : _ x > < b : _ y > 2 5 6 . 2 4 4 8 1 5 4 0 8 4 9 6 8 3 < / b : _ y > < / L o c a t i o n > < S h a p e R o t a t e A n g l e > 2 7 0 < / S h a p e R o t a t e A n g l e > < W i d t h > 1 6 < / W i d t h > < / a : V a l u e > < / a : K e y V a l u e O f D i a g r a m O b j e c t K e y a n y T y p e z b w N T n L X > < a : K e y V a l u e O f D i a g r a m O b j e c t K e y a n y T y p e z b w N T n L X > < a : K e y > < K e y > R e l a t i o n s h i p s \ & l t ; T a b l e s \ D a t a \ C o l u m n s \ D a t e   ( Y e a r ) & g t ; - & l t ; T a b l e s \ Y e a r \ C o l u m n s \ Y e a r & g t ; \ P K < / K e y > < / a : K e y > < a : V a l u e   i : t y p e = " D i a g r a m D i s p l a y L i n k E n d p o i n t V i e w S t a t e " > < H e i g h t > 1 6 < / H e i g h t > < L a b e l L o c a t i o n   x m l n s : b = " h t t p : / / s c h e m a s . d a t a c o n t r a c t . o r g / 2 0 0 4 / 0 7 / S y s t e m . W i n d o w s " > < b : _ x > 3 5 7 . 0 0 7 6 2 1 0 6 1 3 6 8 5 8 < / b : _ x > < b : _ y > 1 4 9 . 9 9 9 9 9 9 9 9 9 9 9 9 9 7 < / b : _ y > < / L a b e l L o c a t i o n > < L o c a t i o n   x m l n s : b = " h t t p : / / s c h e m a s . d a t a c o n t r a c t . o r g / 2 0 0 4 / 0 7 / S y s t e m . W i n d o w s " > < b : _ x > 3 6 5 . 0 0 7 6 2 1 0 6 1 3 6 8 5 8 < / b : _ x > < b : _ y > 1 5 0 < / b : _ y > < / L o c a t i o n > < S h a p e R o t a t e A n g l e > 9 0 < / S h a p e R o t a t e A n g l e > < W i d t h > 1 6 < / W i d t h > < / a : V a l u e > < / a : K e y V a l u e O f D i a g r a m O b j e c t K e y a n y T y p e z b w N T n L X > < a : K e y V a l u e O f D i a g r a m O b j e c t K e y a n y T y p e z b w N T n L X > < a : K e y > < K e y > R e l a t i o n s h i p s \ & l t ; T a b l e s \ D a t a \ C o l u m n s \ D a t e   ( Y e a r ) & g t ; - & l t ; T a b l e s \ Y e a r \ C o l u m n s \ Y e a r & g t ; \ C r o s s F i l t e r < / K e y > < / a : K e y > < a : V a l u e   i : t y p e = " D i a g r a m D i s p l a y L i n k C r o s s F i l t e r V i e w S t a t e " > < P o i n t s   x m l n s : b = " h t t p : / / s c h e m a s . d a t a c o n t r a c t . o r g / 2 0 0 4 / 0 7 / S y s t e m . W i n d o w s " > < b : P o i n t > < b : _ x > 7 8 6 . 5 0 3 8 1 1 < / b : _ x > < b : _ y > 2 4 0 . 2 4 4 8 1 5 4 0 8 4 9 6 8 3 < / b : _ y > < / b : P o i n t > < b : P o i n t > < b : _ x > 7 8 6 . 5 0 3 8 1 1 < / b : _ x > < b : _ y > 2 3 3 . 7 4 4 8 1 5 < / b : _ y > < / b : P o i n t > < b : P o i n t > < b : _ x > 7 8 4 . 5 0 3 8 1 1 < / b : _ x > < b : _ y > 2 3 1 . 7 4 4 8 1 5 < / b : _ y > < / b : P o i n t > < b : P o i n t > < b : _ x > 3 6 7 . 0 0 7 6 2 1 0 6 1 3 6 8 5 8 < / b : _ x > < b : _ y > 2 3 1 . 7 4 4 8 1 5 < / b : _ y > < / b : P o i n t > < b : P o i n t > < b : _ x > 3 6 5 . 0 0 7 6 2 1 0 6 1 3 6 8 5 8 < / b : _ x > < b : _ y > 2 2 9 . 7 4 4 8 1 5 < / b : _ y > < / b : P o i n t > < b : P o i n t > < b : _ x > 3 6 5 . 0 0 7 6 2 1 0 6 1 3 6 8 5 8 < / b : _ x > < b : _ y > 1 6 5 . 9 9 9 9 9 9 9 9 9 9 9 9 9 7 < / b : _ y > < / b : P o i n t > < / P o i n t s > < / a : V a l u e > < / a : K e y V a l u e O f D i a g r a m O b j e c t K e y a n y T y p e z b w N T n L X > < a : K e y V a l u e O f D i a g r a m O b j e c t K e y a n y T y p e z b w N T n L X > < a : K e y > < K e y > R e l a t i o n s h i p s \ & l t ; T a b l e s \ D a t a \ C o l u m n s \ D a t e   ( Q u a r t e r ) & g t ; - & l t ; T a b l e s \ M o n t h \ C o l u m n s \ M o n t h & g t ; < / K e y > < / a : K e y > < a : V a l u e   i : t y p e = " D i a g r a m D i s p l a y L i n k V i e w S t a t e " > < A u t o m a t i o n P r o p e r t y H e l p e r T e x t > E n d   p o i n t   1 :   ( 9 4 6 . 5 0 3 8 1 1 , 2 4 0 . 2 4 4 8 1 5 4 0 8 4 9 7 ) .   E n d   p o i n t   2 :   ( 6 5 9 . 5 0 3 8 1 1 , 1 6 6 )   < / A u t o m a t i o n P r o p e r t y H e l p e r T e x t > < L a y e d O u t > t r u e < / L a y e d O u t > < P o i n t s   x m l n s : b = " h t t p : / / s c h e m a s . d a t a c o n t r a c t . o r g / 2 0 0 4 / 0 7 / S y s t e m . W i n d o w s " > < b : P o i n t > < b : _ x > 9 4 6 . 5 0 3 8 1 1 < / b : _ x > < b : _ y > 2 4 0 . 2 4 4 8 1 5 4 0 8 4 9 6 8 6 < / b : _ y > < / b : P o i n t > < b : P o i n t > < b : _ x > 9 4 6 . 5 0 3 8 1 1 < / b : _ x > < b : _ y > 1 9 3 . 7 4 4 8 1 5 < / b : _ y > < / b : P o i n t > < b : P o i n t > < b : _ x > 9 4 4 . 5 0 3 8 1 1 < / b : _ x > < b : _ y > 1 9 1 . 7 4 4 8 1 5 < / b : _ y > < / b : P o i n t > < b : P o i n t > < b : _ x > 6 6 1 . 5 0 3 8 1 1 < / b : _ x > < b : _ y > 1 9 1 . 7 4 4 8 1 5 < / b : _ y > < / b : P o i n t > < b : P o i n t > < b : _ x > 6 5 9 . 5 0 3 8 1 1 < / b : _ x > < b : _ y > 1 8 9 . 7 4 4 8 1 5 < / b : _ y > < / b : P o i n t > < b : P o i n t > < b : _ x > 6 5 9 . 5 0 3 8 1 1 < / b : _ x > < b : _ y > 1 6 6 < / b : _ y > < / b : P o i n t > < / P o i n t s > < / a : V a l u e > < / a : K e y V a l u e O f D i a g r a m O b j e c t K e y a n y T y p e z b w N T n L X > < a : K e y V a l u e O f D i a g r a m O b j e c t K e y a n y T y p e z b w N T n L X > < a : K e y > < K e y > R e l a t i o n s h i p s \ & l t ; T a b l e s \ D a t a \ C o l u m n s \ D a t e   ( Q u a r t e r ) & g t ; - & l t ; T a b l e s \ M o n t h \ C o l u m n s \ M o n t h & g t ; \ F K < / K e y > < / a : K e y > < a : V a l u e   i : t y p e = " D i a g r a m D i s p l a y L i n k E n d p o i n t V i e w S t a t e " > < H e i g h t > 1 6 < / H e i g h t > < L a b e l L o c a t i o n   x m l n s : b = " h t t p : / / s c h e m a s . d a t a c o n t r a c t . o r g / 2 0 0 4 / 0 7 / S y s t e m . W i n d o w s " > < b : _ x > 9 3 8 . 5 0 3 8 1 1 < / b : _ x > < b : _ y > 2 4 0 . 2 4 4 8 1 5 4 0 8 4 9 6 8 6 < / b : _ y > < / L a b e l L o c a t i o n > < L o c a t i o n   x m l n s : b = " h t t p : / / s c h e m a s . d a t a c o n t r a c t . o r g / 2 0 0 4 / 0 7 / S y s t e m . W i n d o w s " > < b : _ x > 9 4 6 . 5 0 3 8 1 1 < / b : _ x > < b : _ y > 2 5 6 . 2 4 4 8 1 5 4 0 8 4 9 6 8 3 < / b : _ y > < / L o c a t i o n > < S h a p e R o t a t e A n g l e > 2 7 0 < / S h a p e R o t a t e A n g l e > < W i d t h > 1 6 < / W i d t h > < / a : V a l u e > < / a : K e y V a l u e O f D i a g r a m O b j e c t K e y a n y T y p e z b w N T n L X > < a : K e y V a l u e O f D i a g r a m O b j e c t K e y a n y T y p e z b w N T n L X > < a : K e y > < K e y > R e l a t i o n s h i p s \ & l t ; T a b l e s \ D a t a \ C o l u m n s \ D a t e   ( Q u a r t e r ) & g t ; - & l t ; T a b l e s \ M o n t h \ C o l u m n s \ M o n t h & g t ; \ P K < / K e y > < / a : K e y > < a : V a l u e   i : t y p e = " D i a g r a m D i s p l a y L i n k E n d p o i n t V i e w S t a t e " > < H e i g h t > 1 6 < / H e i g h t > < L a b e l L o c a t i o n   x m l n s : b = " h t t p : / / s c h e m a s . d a t a c o n t r a c t . o r g / 2 0 0 4 / 0 7 / S y s t e m . W i n d o w s " > < b : _ x > 6 5 1 . 5 0 3 8 1 1 < / b : _ x > < b : _ y > 1 5 0 < / b : _ y > < / L a b e l L o c a t i o n > < L o c a t i o n   x m l n s : b = " h t t p : / / s c h e m a s . d a t a c o n t r a c t . o r g / 2 0 0 4 / 0 7 / S y s t e m . W i n d o w s " > < b : _ x > 6 5 9 . 5 0 3 8 1 1 < / b : _ x > < b : _ y > 1 5 0 < / b : _ y > < / L o c a t i o n > < S h a p e R o t a t e A n g l e > 9 0 < / S h a p e R o t a t e A n g l e > < W i d t h > 1 6 < / W i d t h > < / a : V a l u e > < / a : K e y V a l u e O f D i a g r a m O b j e c t K e y a n y T y p e z b w N T n L X > < a : K e y V a l u e O f D i a g r a m O b j e c t K e y a n y T y p e z b w N T n L X > < a : K e y > < K e y > R e l a t i o n s h i p s \ & l t ; T a b l e s \ D a t a \ C o l u m n s \ D a t e   ( Q u a r t e r ) & g t ; - & l t ; T a b l e s \ M o n t h \ C o l u m n s \ M o n t h & g t ; \ C r o s s F i l t e r < / K e y > < / a : K e y > < a : V a l u e   i : t y p e = " D i a g r a m D i s p l a y L i n k C r o s s F i l t e r V i e w S t a t e " > < P o i n t s   x m l n s : b = " h t t p : / / s c h e m a s . d a t a c o n t r a c t . o r g / 2 0 0 4 / 0 7 / S y s t e m . W i n d o w s " > < b : P o i n t > < b : _ x > 9 4 6 . 5 0 3 8 1 1 < / b : _ x > < b : _ y > 2 4 0 . 2 4 4 8 1 5 4 0 8 4 9 6 8 6 < / b : _ y > < / b : P o i n t > < b : P o i n t > < b : _ x > 9 4 6 . 5 0 3 8 1 1 < / b : _ x > < b : _ y > 1 9 3 . 7 4 4 8 1 5 < / b : _ y > < / b : P o i n t > < b : P o i n t > < b : _ x > 9 4 4 . 5 0 3 8 1 1 < / b : _ x > < b : _ y > 1 9 1 . 7 4 4 8 1 5 < / b : _ y > < / b : P o i n t > < b : P o i n t > < b : _ x > 6 6 1 . 5 0 3 8 1 1 < / b : _ x > < b : _ y > 1 9 1 . 7 4 4 8 1 5 < / b : _ y > < / b : P o i n t > < b : P o i n t > < b : _ x > 6 5 9 . 5 0 3 8 1 1 < / b : _ x > < b : _ y > 1 8 9 . 7 4 4 8 1 5 < / b : _ y > < / b : P o i n t > < b : P o i n t > < b : _ x > 6 5 9 . 5 0 3 8 1 1 < / b : _ x > < b : _ y > 1 6 6 < / b : _ y > < / b : P o i n t > < / P o i n t s > < / a : V a l u e > < / a : K e y V a l u e O f D i a g r a m O b j e c t K e y a n y T y p e z b w N T n L X > < a : K e y V a l u e O f D i a g r a m O b j e c t K e y a n y T y p e z b w N T n L X > < a : K e y > < K e y > R e l a t i o n s h i p s \ & l t ; T a b l e s \ D a t a \ C o l u m n s \ D a t e   ( Q u a r t e r ) & g t ; - & l t ; T a b l e s \ Y e a r \ C o l u m n s \ Y e a r & g t ; < / K e y > < / a : K e y > < a : V a l u e   i : t y p e = " D i a g r a m D i s p l a y L i n k V i e w S t a t e " > < A u t o m a t i o n P r o p e r t y H e l p e r T e x t > E n d   p o i n t   1 :   ( 8 2 6 . 5 0 3 8 1 1 , 2 4 0 . 2 4 4 8 1 5 4 0 8 4 9 7 ) .   E n d   p o i n t   2 :   ( 4 0 5 . 0 0 7 6 2 1 0 6 1 3 6 9 , 1 6 6 )   < / A u t o m a t i o n P r o p e r t y H e l p e r T e x t > < L a y e d O u t > t r u e < / L a y e d O u t > < P o i n t s   x m l n s : b = " h t t p : / / s c h e m a s . d a t a c o n t r a c t . o r g / 2 0 0 4 / 0 7 / S y s t e m . W i n d o w s " > < b : P o i n t > < b : _ x > 8 2 6 . 5 0 3 8 1 1 < / b : _ x > < b : _ y > 2 4 0 . 2 4 4 8 1 5 4 0 8 4 9 6 8 1 < / b : _ y > < / b : P o i n t > < b : P o i n t > < b : _ x > 8 2 6 . 5 0 3 8 1 1 < / b : _ x > < b : _ y > 2 2 3 . 7 4 4 8 1 5 < / b : _ y > < / b : P o i n t > < b : P o i n t > < b : _ x > 8 2 4 . 5 0 3 8 1 1 < / b : _ x > < b : _ y > 2 2 1 . 7 4 4 8 1 5 < / b : _ y > < / b : P o i n t > < b : P o i n t > < b : _ x > 4 0 7 . 0 0 7 6 2 1 0 6 1 3 6 8 5 8 < / b : _ x > < b : _ y > 2 2 1 . 7 4 4 8 1 5 < / b : _ y > < / b : P o i n t > < b : P o i n t > < b : _ x > 4 0 5 . 0 0 7 6 2 1 0 6 1 3 6 8 5 8 < / b : _ x > < b : _ y > 2 1 9 . 7 4 4 8 1 5 < / b : _ y > < / b : P o i n t > < b : P o i n t > < b : _ x > 4 0 5 . 0 0 7 6 2 1 0 6 1 3 6 8 5 8 < / b : _ x > < b : _ y > 1 6 5 . 9 9 9 9 9 9 9 9 9 9 9 9 9 4 < / b : _ y > < / b : P o i n t > < / P o i n t s > < / a : V a l u e > < / a : K e y V a l u e O f D i a g r a m O b j e c t K e y a n y T y p e z b w N T n L X > < a : K e y V a l u e O f D i a g r a m O b j e c t K e y a n y T y p e z b w N T n L X > < a : K e y > < K e y > R e l a t i o n s h i p s \ & l t ; T a b l e s \ D a t a \ C o l u m n s \ D a t e   ( Q u a r t e r ) & g t ; - & l t ; T a b l e s \ Y e a r \ C o l u m n s \ Y e a r & g t ; \ F K < / K e y > < / a : K e y > < a : V a l u e   i : t y p e = " D i a g r a m D i s p l a y L i n k E n d p o i n t V i e w S t a t e " > < H e i g h t > 1 6 < / H e i g h t > < L a b e l L o c a t i o n   x m l n s : b = " h t t p : / / s c h e m a s . d a t a c o n t r a c t . o r g / 2 0 0 4 / 0 7 / S y s t e m . W i n d o w s " > < b : _ x > 8 1 8 . 5 0 3 8 1 1 < / b : _ x > < b : _ y > 2 4 0 . 2 4 4 8 1 5 4 0 8 4 9 6 8 1 < / b : _ y > < / L a b e l L o c a t i o n > < L o c a t i o n   x m l n s : b = " h t t p : / / s c h e m a s . d a t a c o n t r a c t . o r g / 2 0 0 4 / 0 7 / S y s t e m . W i n d o w s " > < b : _ x > 8 2 6 . 5 0 3 8 1 1 < / b : _ x > < b : _ y > 2 5 6 . 2 4 4 8 1 5 4 0 8 4 9 6 8 3 < / b : _ y > < / L o c a t i o n > < S h a p e R o t a t e A n g l e > 2 7 0 < / S h a p e R o t a t e A n g l e > < W i d t h > 1 6 < / W i d t h > < / a : V a l u e > < / a : K e y V a l u e O f D i a g r a m O b j e c t K e y a n y T y p e z b w N T n L X > < a : K e y V a l u e O f D i a g r a m O b j e c t K e y a n y T y p e z b w N T n L X > < a : K e y > < K e y > R e l a t i o n s h i p s \ & l t ; T a b l e s \ D a t a \ C o l u m n s \ D a t e   ( Q u a r t e r ) & g t ; - & l t ; T a b l e s \ Y e a r \ C o l u m n s \ Y e a r & g t ; \ P K < / K e y > < / a : K e y > < a : V a l u e   i : t y p e = " D i a g r a m D i s p l a y L i n k E n d p o i n t V i e w S t a t e " > < H e i g h t > 1 6 < / H e i g h t > < L a b e l L o c a t i o n   x m l n s : b = " h t t p : / / s c h e m a s . d a t a c o n t r a c t . o r g / 2 0 0 4 / 0 7 / S y s t e m . W i n d o w s " > < b : _ x > 3 9 7 . 0 0 7 6 2 1 0 6 1 3 6 8 5 8 < / b : _ x > < b : _ y > 1 4 9 . 9 9 9 9 9 9 9 9 9 9 9 9 9 4 < / b : _ y > < / L a b e l L o c a t i o n > < L o c a t i o n   x m l n s : b = " h t t p : / / s c h e m a s . d a t a c o n t r a c t . o r g / 2 0 0 4 / 0 7 / S y s t e m . W i n d o w s " > < b : _ x > 4 0 5 . 0 0 7 6 2 1 0 6 1 3 6 8 5 8 < / b : _ x > < b : _ y > 1 4 9 . 9 9 9 9 9 9 9 9 9 9 9 9 9 7 < / b : _ y > < / L o c a t i o n > < S h a p e R o t a t e A n g l e > 9 0 < / S h a p e R o t a t e A n g l e > < W i d t h > 1 6 < / W i d t h > < / a : V a l u e > < / a : K e y V a l u e O f D i a g r a m O b j e c t K e y a n y T y p e z b w N T n L X > < a : K e y V a l u e O f D i a g r a m O b j e c t K e y a n y T y p e z b w N T n L X > < a : K e y > < K e y > R e l a t i o n s h i p s \ & l t ; T a b l e s \ D a t a \ C o l u m n s \ D a t e   ( Q u a r t e r ) & g t ; - & l t ; T a b l e s \ Y e a r \ C o l u m n s \ Y e a r & g t ; \ C r o s s F i l t e r < / K e y > < / a : K e y > < a : V a l u e   i : t y p e = " D i a g r a m D i s p l a y L i n k C r o s s F i l t e r V i e w S t a t e " > < P o i n t s   x m l n s : b = " h t t p : / / s c h e m a s . d a t a c o n t r a c t . o r g / 2 0 0 4 / 0 7 / S y s t e m . W i n d o w s " > < b : P o i n t > < b : _ x > 8 2 6 . 5 0 3 8 1 1 < / b : _ x > < b : _ y > 2 4 0 . 2 4 4 8 1 5 4 0 8 4 9 6 8 1 < / b : _ y > < / b : P o i n t > < b : P o i n t > < b : _ x > 8 2 6 . 5 0 3 8 1 1 < / b : _ x > < b : _ y > 2 2 3 . 7 4 4 8 1 5 < / b : _ y > < / b : P o i n t > < b : P o i n t > < b : _ x > 8 2 4 . 5 0 3 8 1 1 < / b : _ x > < b : _ y > 2 2 1 . 7 4 4 8 1 5 < / b : _ y > < / b : P o i n t > < b : P o i n t > < b : _ x > 4 0 7 . 0 0 7 6 2 1 0 6 1 3 6 8 5 8 < / b : _ x > < b : _ y > 2 2 1 . 7 4 4 8 1 5 < / b : _ y > < / b : P o i n t > < b : P o i n t > < b : _ x > 4 0 5 . 0 0 7 6 2 1 0 6 1 3 6 8 5 8 < / b : _ x > < b : _ y > 2 1 9 . 7 4 4 8 1 5 < / b : _ y > < / b : P o i n t > < b : P o i n t > < b : _ x > 4 0 5 . 0 0 7 6 2 1 0 6 1 3 6 8 5 8 < / b : _ x > < b : _ y > 1 6 5 . 9 9 9 9 9 9 9 9 9 9 9 9 9 4 < / b : _ y > < / b : P o i n t > < / P o i n t s > < / a : V a l u e > < / a : K e y V a l u e O f D i a g r a m O b j e c t K e y a n y T y p e z b w N T n L X > < a : K e y V a l u e O f D i a g r a m O b j e c t K e y a n y T y p e z b w N T n L X > < a : K e y > < K e y > R e l a t i o n s h i p s \ & l t ; T a b l e s \ D a t a \ C o l u m n s \ D a t e & g t ; - & l t ; T a b l e s \ M o n t h \ C o l u m n s \ M o n t h & g t ; < / K e y > < / a : K e y > < a : V a l u e   i : t y p e = " D i a g r a m D i s p l a y L i n k V i e w S t a t e " > < A u t o m a t i o n P r o p e r t y H e l p e r T e x t > E n d   p o i n t   1 :   ( 8 8 6 . 5 0 3 8 1 1 , 2 4 0 . 2 4 4 8 1 5 4 0 8 4 9 7 ) .   E n d   p o i n t   2 :   ( 5 9 9 . 5 0 3 8 1 1 , 1 6 6 )   < / A u t o m a t i o n P r o p e r t y H e l p e r T e x t > < L a y e d O u t > t r u e < / L a y e d O u t > < P o i n t s   x m l n s : b = " h t t p : / / s c h e m a s . d a t a c o n t r a c t . o r g / 2 0 0 4 / 0 7 / S y s t e m . W i n d o w s " > < b : P o i n t > < b : _ x > 8 8 6 . 5 0 3 8 1 1 < / b : _ x > < b : _ y > 2 4 0 . 2 4 4 8 1 5 4 0 8 4 9 6 8 3 < / b : _ y > < / b : P o i n t > < b : P o i n t > < b : _ x > 8 8 6 . 5 0 3 8 1 1 < / b : _ x > < b : _ y > 2 0 8 . 7 4 4 8 1 5 < / b : _ y > < / b : P o i n t > < b : P o i n t > < b : _ x > 8 8 4 . 5 0 3 8 1 1 < / b : _ x > < b : _ y > 2 0 6 . 7 4 4 8 1 5 < / b : _ y > < / b : P o i n t > < b : P o i n t > < b : _ x > 6 0 1 . 5 0 3 8 1 1 < / b : _ x > < b : _ y > 2 0 6 . 7 4 4 8 1 5 < / b : _ y > < / b : P o i n t > < b : P o i n t > < b : _ x > 5 9 9 . 5 0 3 8 1 1 < / b : _ x > < b : _ y > 2 0 4 . 7 4 4 8 1 5 < / b : _ y > < / b : P o i n t > < b : P o i n t > < b : _ x > 5 9 9 . 5 0 3 8 1 1 < / b : _ x > < b : _ y > 1 6 5 . 9 9 9 9 9 9 9 9 9 9 9 9 9 7 < / b : _ y > < / b : P o i n t > < / P o i n t s > < / a : V a l u e > < / a : K e y V a l u e O f D i a g r a m O b j e c t K e y a n y T y p e z b w N T n L X > < a : K e y V a l u e O f D i a g r a m O b j e c t K e y a n y T y p e z b w N T n L X > < a : K e y > < K e y > R e l a t i o n s h i p s \ & l t ; T a b l e s \ D a t a \ C o l u m n s \ D a t e & g t ; - & l t ; T a b l e s \ M o n t h \ C o l u m n s \ M o n t h & g t ; \ F K < / K e y > < / a : K e y > < a : V a l u e   i : t y p e = " D i a g r a m D i s p l a y L i n k E n d p o i n t V i e w S t a t e " > < H e i g h t > 1 6 < / H e i g h t > < L a b e l L o c a t i o n   x m l n s : b = " h t t p : / / s c h e m a s . d a t a c o n t r a c t . o r g / 2 0 0 4 / 0 7 / S y s t e m . W i n d o w s " > < b : _ x > 8 7 8 . 5 0 3 8 1 1 < / b : _ x > < b : _ y > 2 4 0 . 2 4 4 8 1 5 4 0 8 4 9 6 8 3 < / b : _ y > < / L a b e l L o c a t i o n > < L o c a t i o n   x m l n s : b = " h t t p : / / s c h e m a s . d a t a c o n t r a c t . o r g / 2 0 0 4 / 0 7 / S y s t e m . W i n d o w s " > < b : _ x > 8 8 6 . 5 0 3 8 1 1 < / b : _ x > < b : _ y > 2 5 6 . 2 4 4 8 1 5 4 0 8 4 9 6 8 3 < / b : _ y > < / L o c a t i o n > < S h a p e R o t a t e A n g l e > 2 7 0 < / S h a p e R o t a t e A n g l e > < W i d t h > 1 6 < / W i d t h > < / a : V a l u e > < / a : K e y V a l u e O f D i a g r a m O b j e c t K e y a n y T y p e z b w N T n L X > < a : K e y V a l u e O f D i a g r a m O b j e c t K e y a n y T y p e z b w N T n L X > < a : K e y > < K e y > R e l a t i o n s h i p s \ & l t ; T a b l e s \ D a t a \ C o l u m n s \ D a t e & g t ; - & l t ; T a b l e s \ M o n t h \ C o l u m n s \ M o n t h & g t ; \ P K < / K e y > < / a : K e y > < a : V a l u e   i : t y p e = " D i a g r a m D i s p l a y L i n k E n d p o i n t V i e w S t a t e " > < H e i g h t > 1 6 < / H e i g h t > < L a b e l L o c a t i o n   x m l n s : b = " h t t p : / / s c h e m a s . d a t a c o n t r a c t . o r g / 2 0 0 4 / 0 7 / S y s t e m . W i n d o w s " > < b : _ x > 5 9 1 . 5 0 3 8 1 1 < / b : _ x > < b : _ y > 1 4 9 . 9 9 9 9 9 9 9 9 9 9 9 9 9 7 < / b : _ y > < / L a b e l L o c a t i o n > < L o c a t i o n   x m l n s : b = " h t t p : / / s c h e m a s . d a t a c o n t r a c t . o r g / 2 0 0 4 / 0 7 / S y s t e m . W i n d o w s " > < b : _ x > 5 9 9 . 5 0 3 8 1 1 < / b : _ x > < b : _ y > 1 5 0 < / b : _ y > < / L o c a t i o n > < S h a p e R o t a t e A n g l e > 9 0 < / S h a p e R o t a t e A n g l e > < W i d t h > 1 6 < / W i d t h > < / a : V a l u e > < / a : K e y V a l u e O f D i a g r a m O b j e c t K e y a n y T y p e z b w N T n L X > < a : K e y V a l u e O f D i a g r a m O b j e c t K e y a n y T y p e z b w N T n L X > < a : K e y > < K e y > R e l a t i o n s h i p s \ & l t ; T a b l e s \ D a t a \ C o l u m n s \ D a t e & g t ; - & l t ; T a b l e s \ M o n t h \ C o l u m n s \ M o n t h & g t ; \ C r o s s F i l t e r < / K e y > < / a : K e y > < a : V a l u e   i : t y p e = " D i a g r a m D i s p l a y L i n k C r o s s F i l t e r V i e w S t a t e " > < P o i n t s   x m l n s : b = " h t t p : / / s c h e m a s . d a t a c o n t r a c t . o r g / 2 0 0 4 / 0 7 / S y s t e m . W i n d o w s " > < b : P o i n t > < b : _ x > 8 8 6 . 5 0 3 8 1 1 < / b : _ x > < b : _ y > 2 4 0 . 2 4 4 8 1 5 4 0 8 4 9 6 8 3 < / b : _ y > < / b : P o i n t > < b : P o i n t > < b : _ x > 8 8 6 . 5 0 3 8 1 1 < / b : _ x > < b : _ y > 2 0 8 . 7 4 4 8 1 5 < / b : _ y > < / b : P o i n t > < b : P o i n t > < b : _ x > 8 8 4 . 5 0 3 8 1 1 < / b : _ x > < b : _ y > 2 0 6 . 7 4 4 8 1 5 < / b : _ y > < / b : P o i n t > < b : P o i n t > < b : _ x > 6 0 1 . 5 0 3 8 1 1 < / b : _ x > < b : _ y > 2 0 6 . 7 4 4 8 1 5 < / b : _ y > < / b : P o i n t > < b : P o i n t > < b : _ x > 5 9 9 . 5 0 3 8 1 1 < / b : _ x > < b : _ y > 2 0 4 . 7 4 4 8 1 5 < / b : _ y > < / b : P o i n t > < b : P o i n t > < b : _ x > 5 9 9 . 5 0 3 8 1 1 < / b : _ x > < b : _ y > 1 6 5 . 9 9 9 9 9 9 9 9 9 9 9 9 9 7 < / b : _ y > < / b : P o i n t > < / P o i n t s > < / a : V a l u e > < / a : K e y V a l u e O f D i a g r a m O b j e c t K e y a n y T y p e z b w N T n L X > < a : K e y V a l u e O f D i a g r a m O b j e c t K e y a n y T y p e z b w N T n L X > < a : K e y > < K e y > R e l a t i o n s h i p s \ & l t ; T a b l e s \ D a t a \ C o l u m n s \ D a t e & g t ; - & l t ; T a b l e s \ Y e a r \ C o l u m n s \ Y e a r & g t ; < / K e y > < / a : K e y > < a : V a l u e   i : t y p e = " D i a g r a m D i s p l a y L i n k V i e w S t a t e " > < A u t o m a t i o n P r o p e r t y H e l p e r T e x t > E n d   p o i n t   1 :   ( 8 0 6 . 5 0 3 8 1 1 , 2 4 0 . 2 4 4 8 1 5 4 0 8 4 9 7 ) .   E n d   p o i n t   2 :   ( 3 8 5 . 0 0 7 6 2 1 0 6 1 3 6 9 , 1 6 6 )   < / A u t o m a t i o n P r o p e r t y H e l p e r T e x t > < L a y e d O u t > t r u e < / L a y e d O u t > < P o i n t s   x m l n s : b = " h t t p : / / s c h e m a s . d a t a c o n t r a c t . o r g / 2 0 0 4 / 0 7 / S y s t e m . W i n d o w s " > < b : P o i n t > < b : _ x > 8 0 6 . 5 0 3 8 1 1 < / b : _ x > < b : _ y > 2 4 0 . 2 4 4 8 1 5 4 0 8 4 9 6 8 3 < / b : _ y > < / b : P o i n t > < b : P o i n t > < b : _ x > 8 0 6 . 5 0 3 8 1 1 < / b : _ x > < b : _ y > 2 2 8 . 7 4 4 8 1 5 < / b : _ y > < / b : P o i n t > < b : P o i n t > < b : _ x > 8 0 4 . 5 0 3 8 1 1 < / b : _ x > < b : _ y > 2 2 6 . 7 4 4 8 1 5 < / b : _ y > < / b : P o i n t > < b : P o i n t > < b : _ x > 3 8 7 . 0 0 7 6 2 1 0 6 1 3 6 8 5 8 < / b : _ x > < b : _ y > 2 2 6 . 7 4 4 8 1 5 < / b : _ y > < / b : P o i n t > < b : P o i n t > < b : _ x > 3 8 5 . 0 0 7 6 2 1 0 6 1 3 6 8 5 8 < / b : _ x > < b : _ y > 2 2 4 . 7 4 4 8 1 5 < / b : _ y > < / b : P o i n t > < b : P o i n t > < b : _ x > 3 8 5 . 0 0 7 6 2 1 0 6 1 3 6 8 5 8 < / b : _ x > < b : _ y > 1 6 6 . 0 0 0 0 0 0 0 0 0 0 0 0 0 3 < / b : _ y > < / b : P o i n t > < / P o i n t s > < / a : V a l u e > < / a : K e y V a l u e O f D i a g r a m O b j e c t K e y a n y T y p e z b w N T n L X > < a : K e y V a l u e O f D i a g r a m O b j e c t K e y a n y T y p e z b w N T n L X > < a : K e y > < K e y > R e l a t i o n s h i p s \ & l t ; T a b l e s \ D a t a \ C o l u m n s \ D a t e & g t ; - & l t ; T a b l e s \ Y e a r \ C o l u m n s \ Y e a r & g t ; \ F K < / K e y > < / a : K e y > < a : V a l u e   i : t y p e = " D i a g r a m D i s p l a y L i n k E n d p o i n t V i e w S t a t e " > < H e i g h t > 1 6 < / H e i g h t > < L a b e l L o c a t i o n   x m l n s : b = " h t t p : / / s c h e m a s . d a t a c o n t r a c t . o r g / 2 0 0 4 / 0 7 / S y s t e m . W i n d o w s " > < b : _ x > 7 9 8 . 5 0 3 8 1 1 < / b : _ x > < b : _ y > 2 4 0 . 2 4 4 8 1 5 4 0 8 4 9 6 8 3 < / b : _ y > < / L a b e l L o c a t i o n > < L o c a t i o n   x m l n s : b = " h t t p : / / s c h e m a s . d a t a c o n t r a c t . o r g / 2 0 0 4 / 0 7 / S y s t e m . W i n d o w s " > < b : _ x > 8 0 6 . 5 0 3 8 1 1 < / b : _ x > < b : _ y > 2 5 6 . 2 4 4 8 1 5 4 0 8 4 9 6 8 3 < / b : _ y > < / L o c a t i o n > < S h a p e R o t a t e A n g l e > 2 7 0 < / S h a p e R o t a t e A n g l e > < W i d t h > 1 6 < / W i d t h > < / a : V a l u e > < / a : K e y V a l u e O f D i a g r a m O b j e c t K e y a n y T y p e z b w N T n L X > < a : K e y V a l u e O f D i a g r a m O b j e c t K e y a n y T y p e z b w N T n L X > < a : K e y > < K e y > R e l a t i o n s h i p s \ & l t ; T a b l e s \ D a t a \ C o l u m n s \ D a t e & g t ; - & l t ; T a b l e s \ Y e a r \ C o l u m n s \ Y e a r & g t ; \ P K < / K e y > < / a : K e y > < a : V a l u e   i : t y p e = " D i a g r a m D i s p l a y L i n k E n d p o i n t V i e w S t a t e " > < H e i g h t > 1 6 < / H e i g h t > < L a b e l L o c a t i o n   x m l n s : b = " h t t p : / / s c h e m a s . d a t a c o n t r a c t . o r g / 2 0 0 4 / 0 7 / S y s t e m . W i n d o w s " > < b : _ x > 3 7 7 . 0 0 7 6 2 1 0 6 1 3 6 8 5 8 < / b : _ x > < b : _ y > 1 5 0 . 0 0 0 0 0 0 0 0 0 0 0 0 0 3 < / b : _ y > < / L a b e l L o c a t i o n > < L o c a t i o n   x m l n s : b = " h t t p : / / s c h e m a s . d a t a c o n t r a c t . o r g / 2 0 0 4 / 0 7 / S y s t e m . W i n d o w s " > < b : _ x > 3 8 5 . 0 0 7 6 2 1 0 6 1 3 6 8 5 8 < / b : _ x > < b : _ y > 1 5 0 < / b : _ y > < / L o c a t i o n > < S h a p e R o t a t e A n g l e > 9 0 < / S h a p e R o t a t e A n g l e > < W i d t h > 1 6 < / W i d t h > < / a : V a l u e > < / a : K e y V a l u e O f D i a g r a m O b j e c t K e y a n y T y p e z b w N T n L X > < a : K e y V a l u e O f D i a g r a m O b j e c t K e y a n y T y p e z b w N T n L X > < a : K e y > < K e y > R e l a t i o n s h i p s \ & l t ; T a b l e s \ D a t a \ C o l u m n s \ D a t e & g t ; - & l t ; T a b l e s \ Y e a r \ C o l u m n s \ Y e a r & g t ; \ C r o s s F i l t e r < / K e y > < / a : K e y > < a : V a l u e   i : t y p e = " D i a g r a m D i s p l a y L i n k C r o s s F i l t e r V i e w S t a t e " > < P o i n t s   x m l n s : b = " h t t p : / / s c h e m a s . d a t a c o n t r a c t . o r g / 2 0 0 4 / 0 7 / S y s t e m . W i n d o w s " > < b : P o i n t > < b : _ x > 8 0 6 . 5 0 3 8 1 1 < / b : _ x > < b : _ y > 2 4 0 . 2 4 4 8 1 5 4 0 8 4 9 6 8 3 < / b : _ y > < / b : P o i n t > < b : P o i n t > < b : _ x > 8 0 6 . 5 0 3 8 1 1 < / b : _ x > < b : _ y > 2 2 8 . 7 4 4 8 1 5 < / b : _ y > < / b : P o i n t > < b : P o i n t > < b : _ x > 8 0 4 . 5 0 3 8 1 1 < / b : _ x > < b : _ y > 2 2 6 . 7 4 4 8 1 5 < / b : _ y > < / b : P o i n t > < b : P o i n t > < b : _ x > 3 8 7 . 0 0 7 6 2 1 0 6 1 3 6 8 5 8 < / b : _ x > < b : _ y > 2 2 6 . 7 4 4 8 1 5 < / b : _ y > < / b : P o i n t > < b : P o i n t > < b : _ x > 3 8 5 . 0 0 7 6 2 1 0 6 1 3 6 8 5 8 < / b : _ x > < b : _ y > 2 2 4 . 7 4 4 8 1 5 < / b : _ y > < / b : P o i n t > < b : P o i n t > < b : _ x > 3 8 5 . 0 0 7 6 2 1 0 6 1 3 6 8 5 8 < / b : _ x > < b : _ y > 1 6 6 . 0 0 0 0 0 0 0 0 0 0 0 0 0 3 < / b : _ y > < / b : P o i n t > < / P o i n t s > < / a : V a l u e > < / a : K e y V a l u e O f D i a g r a m O b j e c t K e y a n y T y p e z b w N T n L X > < a : K e y V a l u e O f D i a g r a m O b j e c t K e y a n y T y p e z b w N T n L X > < a : K e y > < K e y > R e l a t i o n s h i p s \ & l t ; T a b l e s \ D a t a \ C o l u m n s \ D a t e   ( Y e a r ) & g t ; - & l t ; T a b l e s \ M o n t h \ C o l u m n s \ M o n t h & g t ; < / K e y > < / a : K e y > < a : V a l u e   i : t y p e = " D i a g r a m D i s p l a y L i n k V i e w S t a t e " > < A u t o m a t i o n P r o p e r t y H e l p e r T e x t > E n d   p o i n t   1 :   ( 8 6 6 . 5 0 3 8 1 1 , 2 4 0 . 2 4 4 8 1 5 4 0 8 4 9 7 ) .   E n d   p o i n t   2 :   ( 5 7 9 . 5 0 3 8 1 1 , 1 6 6 )   < / A u t o m a t i o n P r o p e r t y H e l p e r T e x t > < L a y e d O u t > t r u e < / L a y e d O u t > < P o i n t s   x m l n s : b = " h t t p : / / s c h e m a s . d a t a c o n t r a c t . o r g / 2 0 0 4 / 0 7 / S y s t e m . W i n d o w s " > < b : P o i n t > < b : _ x > 8 6 6 . 5 0 3 8 1 1 < / b : _ x > < b : _ y > 2 4 0 . 2 4 4 8 1 5 4 0 8 4 9 6 8 3 < / b : _ y > < / b : P o i n t > < b : P o i n t > < b : _ x > 8 6 6 . 5 0 3 8 1 1 < / b : _ x > < b : _ y > 2 1 3 . 7 4 4 8 1 5 < / b : _ y > < / b : P o i n t > < b : P o i n t > < b : _ x > 8 6 4 . 5 0 3 8 1 1 < / b : _ x > < b : _ y > 2 1 1 . 7 4 4 8 1 5 < / b : _ y > < / b : P o i n t > < b : P o i n t > < b : _ x > 5 8 1 . 5 0 3 8 1 1 < / b : _ x > < b : _ y > 2 1 1 . 7 4 4 8 1 5 < / b : _ y > < / b : P o i n t > < b : P o i n t > < b : _ x > 5 7 9 . 5 0 3 8 1 1 < / b : _ x > < b : _ y > 2 0 9 . 7 4 4 8 1 5 < / b : _ y > < / b : P o i n t > < b : P o i n t > < b : _ x > 5 7 9 . 5 0 3 8 1 1 < / b : _ x > < b : _ y > 1 6 6 . 0 0 0 0 0 0 0 0 0 0 0 0 0 3 < / b : _ y > < / b : P o i n t > < / P o i n t s > < / a : V a l u e > < / a : K e y V a l u e O f D i a g r a m O b j e c t K e y a n y T y p e z b w N T n L X > < a : K e y V a l u e O f D i a g r a m O b j e c t K e y a n y T y p e z b w N T n L X > < a : K e y > < K e y > R e l a t i o n s h i p s \ & l t ; T a b l e s \ D a t a \ C o l u m n s \ D a t e   ( Y e a r ) & g t ; - & l t ; T a b l e s \ M o n t h \ C o l u m n s \ M o n t h & g t ; \ F K < / K e y > < / a : K e y > < a : V a l u e   i : t y p e = " D i a g r a m D i s p l a y L i n k E n d p o i n t V i e w S t a t e " > < H e i g h t > 1 6 < / H e i g h t > < L a b e l L o c a t i o n   x m l n s : b = " h t t p : / / s c h e m a s . d a t a c o n t r a c t . o r g / 2 0 0 4 / 0 7 / S y s t e m . W i n d o w s " > < b : _ x > 8 5 8 . 5 0 3 8 1 1 < / b : _ x > < b : _ y > 2 4 0 . 2 4 4 8 1 5 4 0 8 4 9 6 8 3 < / b : _ y > < / L a b e l L o c a t i o n > < L o c a t i o n   x m l n s : b = " h t t p : / / s c h e m a s . d a t a c o n t r a c t . o r g / 2 0 0 4 / 0 7 / S y s t e m . W i n d o w s " > < b : _ x > 8 6 6 . 5 0 3 8 1 1 < / b : _ x > < b : _ y > 2 5 6 . 2 4 4 8 1 5 4 0 8 4 9 6 8 3 < / b : _ y > < / L o c a t i o n > < S h a p e R o t a t e A n g l e > 2 7 0 < / S h a p e R o t a t e A n g l e > < W i d t h > 1 6 < / W i d t h > < / a : V a l u e > < / a : K e y V a l u e O f D i a g r a m O b j e c t K e y a n y T y p e z b w N T n L X > < a : K e y V a l u e O f D i a g r a m O b j e c t K e y a n y T y p e z b w N T n L X > < a : K e y > < K e y > R e l a t i o n s h i p s \ & l t ; T a b l e s \ D a t a \ C o l u m n s \ D a t e   ( Y e a r ) & g t ; - & l t ; T a b l e s \ M o n t h \ C o l u m n s \ M o n t h & g t ; \ P K < / K e y > < / a : K e y > < a : V a l u e   i : t y p e = " D i a g r a m D i s p l a y L i n k E n d p o i n t V i e w S t a t e " > < H e i g h t > 1 6 < / H e i g h t > < L a b e l L o c a t i o n   x m l n s : b = " h t t p : / / s c h e m a s . d a t a c o n t r a c t . o r g / 2 0 0 4 / 0 7 / S y s t e m . W i n d o w s " > < b : _ x > 5 7 1 . 5 0 3 8 1 1 < / b : _ x > < b : _ y > 1 5 0 . 0 0 0 0 0 0 0 0 0 0 0 0 0 3 < / b : _ y > < / L a b e l L o c a t i o n > < L o c a t i o n   x m l n s : b = " h t t p : / / s c h e m a s . d a t a c o n t r a c t . o r g / 2 0 0 4 / 0 7 / S y s t e m . W i n d o w s " > < b : _ x > 5 7 9 . 5 0 3 8 1 1 < / b : _ x > < b : _ y > 1 5 0 . 0 0 0 0 0 0 0 0 0 0 0 0 0 3 < / b : _ y > < / L o c a t i o n > < S h a p e R o t a t e A n g l e > 9 0 < / S h a p e R o t a t e A n g l e > < W i d t h > 1 6 < / W i d t h > < / a : V a l u e > < / a : K e y V a l u e O f D i a g r a m O b j e c t K e y a n y T y p e z b w N T n L X > < a : K e y V a l u e O f D i a g r a m O b j e c t K e y a n y T y p e z b w N T n L X > < a : K e y > < K e y > R e l a t i o n s h i p s \ & l t ; T a b l e s \ D a t a \ C o l u m n s \ D a t e   ( Y e a r ) & g t ; - & l t ; T a b l e s \ M o n t h \ C o l u m n s \ M o n t h & g t ; \ C r o s s F i l t e r < / K e y > < / a : K e y > < a : V a l u e   i : t y p e = " D i a g r a m D i s p l a y L i n k C r o s s F i l t e r V i e w S t a t e " > < P o i n t s   x m l n s : b = " h t t p : / / s c h e m a s . d a t a c o n t r a c t . o r g / 2 0 0 4 / 0 7 / S y s t e m . W i n d o w s " > < b : P o i n t > < b : _ x > 8 6 6 . 5 0 3 8 1 1 < / b : _ x > < b : _ y > 2 4 0 . 2 4 4 8 1 5 4 0 8 4 9 6 8 3 < / b : _ y > < / b : P o i n t > < b : P o i n t > < b : _ x > 8 6 6 . 5 0 3 8 1 1 < / b : _ x > < b : _ y > 2 1 3 . 7 4 4 8 1 5 < / b : _ y > < / b : P o i n t > < b : P o i n t > < b : _ x > 8 6 4 . 5 0 3 8 1 1 < / b : _ x > < b : _ y > 2 1 1 . 7 4 4 8 1 5 < / b : _ y > < / b : P o i n t > < b : P o i n t > < b : _ x > 5 8 1 . 5 0 3 8 1 1 < / b : _ x > < b : _ y > 2 1 1 . 7 4 4 8 1 5 < / b : _ y > < / b : P o i n t > < b : P o i n t > < b : _ x > 5 7 9 . 5 0 3 8 1 1 < / b : _ x > < b : _ y > 2 0 9 . 7 4 4 8 1 5 < / b : _ y > < / b : P o i n t > < b : P o i n t > < b : _ x > 5 7 9 . 5 0 3 8 1 1 < / b : _ x > < b : _ y > 1 6 6 . 0 0 0 0 0 0 0 0 0 0 0 0 0 3 < / b : _ y > < / b : P o i n t > < / P o i n t s > < / a : V a l u e > < / a : K e y V a l u e O f D i a g r a m O b j e c t K e y a n y T y p e z b w N T n L X > < a : K e y V a l u e O f D i a g r a m O b j e c t K e y a n y T y p e z b w N T n L X > < a : K e y > < K e y > R e l a t i o n s h i p s \ & l t ; T a b l e s \ D a t a \ C o l u m n s \ D a t e   ( M o n t h ) & g t ; - & l t ; T a b l e s \ Y e a r \ C o l u m n s \ Y e a r & g t ; < / K e y > < / a : K e y > < a : V a l u e   i : t y p e = " D i a g r a m D i s p l a y L i n k V i e w S t a t e " > < A u t o m a t i o n P r o p e r t y H e l p e r T e x t > E n d   p o i n t   1 :   ( 8 4 6 . 5 0 3 8 1 1 , 2 4 0 . 2 4 4 8 1 5 4 0 8 4 9 7 ) .   E n d   p o i n t   2 :   ( 4 2 5 . 0 0 7 6 2 1 0 6 1 3 6 9 , 1 6 6 )   < / A u t o m a t i o n P r o p e r t y H e l p e r T e x t > < L a y e d O u t > t r u e < / L a y e d O u t > < P o i n t s   x m l n s : b = " h t t p : / / s c h e m a s . d a t a c o n t r a c t . o r g / 2 0 0 4 / 0 7 / S y s t e m . W i n d o w s " > < b : P o i n t > < b : _ x > 8 4 6 . 5 0 3 8 1 1 < / b : _ x > < b : _ y > 2 4 0 . 2 4 4 8 1 5 4 0 8 4 9 6 8 3 < / b : _ y > < / b : P o i n t > < b : P o i n t > < b : _ x > 8 4 6 . 5 0 3 8 1 1 < / b : _ x > < b : _ y > 2 1 8 . 7 4 4 8 1 5 < / b : _ y > < / b : P o i n t > < b : P o i n t > < b : _ x > 8 4 4 . 5 0 3 8 1 1 < / b : _ x > < b : _ y > 2 1 6 . 7 4 4 8 1 5 < / b : _ y > < / b : P o i n t > < b : P o i n t > < b : _ x > 4 2 7 . 0 0 7 6 2 1 0 6 1 3 6 8 5 8 < / b : _ x > < b : _ y > 2 1 6 . 7 4 4 8 1 5 < / b : _ y > < / b : P o i n t > < b : P o i n t > < b : _ x > 4 2 5 . 0 0 7 6 2 1 0 6 1 3 6 8 5 8 < / b : _ x > < b : _ y > 2 1 4 . 7 4 4 8 1 5 < / b : _ y > < / b : P o i n t > < b : P o i n t > < b : _ x > 4 2 5 . 0 0 7 6 2 1 0 6 1 3 6 8 5 8 < / b : _ x > < b : _ y > 1 6 6 . 0 0 0 0 0 0 0 0 0 0 0 0 0 3 < / b : _ y > < / b : P o i n t > < / P o i n t s > < / a : V a l u e > < / a : K e y V a l u e O f D i a g r a m O b j e c t K e y a n y T y p e z b w N T n L X > < a : K e y V a l u e O f D i a g r a m O b j e c t K e y a n y T y p e z b w N T n L X > < a : K e y > < K e y > R e l a t i o n s h i p s \ & l t ; T a b l e s \ D a t a \ C o l u m n s \ D a t e   ( M o n t h ) & g t ; - & l t ; T a b l e s \ Y e a r \ C o l u m n s \ Y e a r & g t ; \ F K < / K e y > < / a : K e y > < a : V a l u e   i : t y p e = " D i a g r a m D i s p l a y L i n k E n d p o i n t V i e w S t a t e " > < H e i g h t > 1 6 < / H e i g h t > < L a b e l L o c a t i o n   x m l n s : b = " h t t p : / / s c h e m a s . d a t a c o n t r a c t . o r g / 2 0 0 4 / 0 7 / S y s t e m . W i n d o w s " > < b : _ x > 8 3 8 . 5 0 3 8 1 1 < / b : _ x > < b : _ y > 2 4 0 . 2 4 4 8 1 5 4 0 8 4 9 6 8 3 < / b : _ y > < / L a b e l L o c a t i o n > < L o c a t i o n   x m l n s : b = " h t t p : / / s c h e m a s . d a t a c o n t r a c t . o r g / 2 0 0 4 / 0 7 / S y s t e m . W i n d o w s " > < b : _ x > 8 4 6 . 5 0 3 8 1 1 < / b : _ x > < b : _ y > 2 5 6 . 2 4 4 8 1 5 4 0 8 4 9 6 8 3 < / b : _ y > < / L o c a t i o n > < S h a p e R o t a t e A n g l e > 2 7 0 < / S h a p e R o t a t e A n g l e > < W i d t h > 1 6 < / W i d t h > < / a : V a l u e > < / a : K e y V a l u e O f D i a g r a m O b j e c t K e y a n y T y p e z b w N T n L X > < a : K e y V a l u e O f D i a g r a m O b j e c t K e y a n y T y p e z b w N T n L X > < a : K e y > < K e y > R e l a t i o n s h i p s \ & l t ; T a b l e s \ D a t a \ C o l u m n s \ D a t e   ( M o n t h ) & g t ; - & l t ; T a b l e s \ Y e a r \ C o l u m n s \ Y e a r & g t ; \ P K < / K e y > < / a : K e y > < a : V a l u e   i : t y p e = " D i a g r a m D i s p l a y L i n k E n d p o i n t V i e w S t a t e " > < H e i g h t > 1 6 < / H e i g h t > < L a b e l L o c a t i o n   x m l n s : b = " h t t p : / / s c h e m a s . d a t a c o n t r a c t . o r g / 2 0 0 4 / 0 7 / S y s t e m . W i n d o w s " > < b : _ x > 4 1 7 . 0 0 7 6 2 1 0 6 1 3 6 8 5 8 < / b : _ x > < b : _ y > 1 5 0 . 0 0 0 0 0 0 0 0 0 0 0 0 0 3 < / b : _ y > < / L a b e l L o c a t i o n > < L o c a t i o n   x m l n s : b = " h t t p : / / s c h e m a s . d a t a c o n t r a c t . o r g / 2 0 0 4 / 0 7 / S y s t e m . W i n d o w s " > < b : _ x > 4 2 5 . 0 0 7 6 2 1 0 6 1 3 6 8 5 8 < / b : _ x > < b : _ y > 1 5 0 < / b : _ y > < / L o c a t i o n > < S h a p e R o t a t e A n g l e > 9 0 < / S h a p e R o t a t e A n g l e > < W i d t h > 1 6 < / W i d t h > < / a : V a l u e > < / a : K e y V a l u e O f D i a g r a m O b j e c t K e y a n y T y p e z b w N T n L X > < a : K e y V a l u e O f D i a g r a m O b j e c t K e y a n y T y p e z b w N T n L X > < a : K e y > < K e y > R e l a t i o n s h i p s \ & l t ; T a b l e s \ D a t a \ C o l u m n s \ D a t e   ( M o n t h ) & g t ; - & l t ; T a b l e s \ Y e a r \ C o l u m n s \ Y e a r & g t ; \ C r o s s F i l t e r < / K e y > < / a : K e y > < a : V a l u e   i : t y p e = " D i a g r a m D i s p l a y L i n k C r o s s F i l t e r V i e w S t a t e " > < P o i n t s   x m l n s : b = " h t t p : / / s c h e m a s . d a t a c o n t r a c t . o r g / 2 0 0 4 / 0 7 / S y s t e m . W i n d o w s " > < b : P o i n t > < b : _ x > 8 4 6 . 5 0 3 8 1 1 < / b : _ x > < b : _ y > 2 4 0 . 2 4 4 8 1 5 4 0 8 4 9 6 8 3 < / b : _ y > < / b : P o i n t > < b : P o i n t > < b : _ x > 8 4 6 . 5 0 3 8 1 1 < / b : _ x > < b : _ y > 2 1 8 . 7 4 4 8 1 5 < / b : _ y > < / b : P o i n t > < b : P o i n t > < b : _ x > 8 4 4 . 5 0 3 8 1 1 < / b : _ x > < b : _ y > 2 1 6 . 7 4 4 8 1 5 < / b : _ y > < / b : P o i n t > < b : P o i n t > < b : _ x > 4 2 7 . 0 0 7 6 2 1 0 6 1 3 6 8 5 8 < / b : _ x > < b : _ y > 2 1 6 . 7 4 4 8 1 5 < / b : _ y > < / b : P o i n t > < b : P o i n t > < b : _ x > 4 2 5 . 0 0 7 6 2 1 0 6 1 3 6 8 5 8 < / b : _ x > < b : _ y > 2 1 4 . 7 4 4 8 1 5 < / b : _ y > < / b : P o i n t > < b : P o i n t > < b : _ x > 4 2 5 . 0 0 7 6 2 1 0 6 1 3 6 8 5 8 < / b : _ x > < b : _ y > 1 6 6 . 0 0 0 0 0 0 0 0 0 0 0 0 0 3 < / b : _ y > < / b : P o i n t > < / P o i n t s > < / a : V a l u e > < / a : K e y V a l u e O f D i a g r a m O b j e c t K e y a n y T y p e z b w N T n L X > < / V i e w S t a t e s > < / D i a g r a m M a n a g e r . S e r i a l i z a b l e D i a g r a m > < D i a g r a m M a n a g e r . S e r i a l i z a b l e D i a g r a m > < A d a p t e r   i : t y p e = " M e a s u r e D i a g r a m S a n d b o x A d a p t e r " > < T a b l e N a m e > P l a n 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 P l a n   B u d g e t < / K e y > < / D i a g r a m O b j e c t K e y > < D i a g r a m O b j e c t K e y > < K e y > M e a s u r e s \ S u m   o f   P l a n   B u d g e t \ T a g I n f o \ F o r m u l a < / K e y > < / D i a g r a m O b j e c t K e y > < D i a g r a m O b j e c t K e y > < K e y > M e a s u r e s \ S u m   o f   P l a n   B u d g e t \ T a g I n f o \ V a l u e < / K e y > < / D i a g r a m O b j e c t K e y > < D i a g r a m O b j e c t K e y > < K e y > M e a s u r e s \ S u m   o f   P l a n   I n c o m e < / K e y > < / D i a g r a m O b j e c t K e y > < D i a g r a m O b j e c t K e y > < K e y > M e a s u r e s \ S u m   o f   P l a n   I n c o m e \ T a g I n f o \ F o r m u l a < / K e y > < / D i a g r a m O b j e c t K e y > < D i a g r a m O b j e c t K e y > < K e y > M e a s u r e s \ S u m   o f   P l a n   I n c o m e \ T a g I n f o \ V a l u e < / K e y > < / D i a g r a m O b j e c t K e y > < D i a g r a m O b j e c t K e y > < K e y > C o l u m n s \ Y e a r < / K e y > < / D i a g r a m O b j e c t K e y > < D i a g r a m O b j e c t K e y > < K e y > C o l u m n s \ M o n t h < / K e y > < / D i a g r a m O b j e c t K e y > < D i a g r a m O b j e c t K e y > < K e y > C o l u m n s \ C a t e g o r y < / K e y > < / D i a g r a m O b j e c t K e y > < D i a g r a m O b j e c t K e y > < K e y > C o l u m n s \ P l a n   I n c o m e < / K e y > < / D i a g r a m O b j e c t K e y > < D i a g r a m O b j e c t K e y > < K e y > C o l u m n s \ P l a n   B u d g e t < / K e y > < / D i a g r a m O b j e c t K e y > < D i a g r a m O b j e c t K e y > < K e y > C o l u m n s \ P e r c e n t < / K e y > < / D i a g r a m O b j e c t K e y > < D i a g r a m O b j e c t K e y > < K e y > L i n k s \ & l t ; C o l u m n s \ S u m   o f   P l a n   B u d g e t & g t ; - & l t ; M e a s u r e s \ P l a n   B u d g e t & g t ; < / K e y > < / D i a g r a m O b j e c t K e y > < D i a g r a m O b j e c t K e y > < K e y > L i n k s \ & l t ; C o l u m n s \ S u m   o f   P l a n   B u d g e t & g t ; - & l t ; M e a s u r e s \ P l a n   B u d g e t & g t ; \ C O L U M N < / K e y > < / D i a g r a m O b j e c t K e y > < D i a g r a m O b j e c t K e y > < K e y > L i n k s \ & l t ; C o l u m n s \ S u m   o f   P l a n   B u d g e t & g t ; - & l t ; M e a s u r e s \ P l a n   B u d g e t & g t ; \ M E A S U R E < / K e y > < / D i a g r a m O b j e c t K e y > < D i a g r a m O b j e c t K e y > < K e y > L i n k s \ & l t ; C o l u m n s \ S u m   o f   P l a n   I n c o m e & g t ; - & l t ; M e a s u r e s \ P l a n   I n c o m e & g t ; < / K e y > < / D i a g r a m O b j e c t K e y > < D i a g r a m O b j e c t K e y > < K e y > L i n k s \ & l t ; C o l u m n s \ S u m   o f   P l a n   I n c o m e & g t ; - & l t ; M e a s u r e s \ P l a n   I n c o m e & g t ; \ C O L U M N < / K e y > < / D i a g r a m O b j e c t K e y > < D i a g r a m O b j e c t K e y > < K e y > L i n k s \ & l t ; C o l u m n s \ S u m   o f   P l a n   I n c o m e & g t ; - & l t ; M e a s u r e s \ P l a n 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 P l a n   B u d g e t < / K e y > < / a : K e y > < a : V a l u e   i : t y p e = " M e a s u r e G r i d N o d e V i e w S t a t e " > < C o l u m n > 4 < / C o l u m n > < L a y e d O u t > t r u e < / L a y e d O u t > < W a s U I I n v i s i b l e > t r u e < / W a s U I I n v i s i b l e > < / a : V a l u e > < / a : K e y V a l u e O f D i a g r a m O b j e c t K e y a n y T y p e z b w N T n L X > < a : K e y V a l u e O f D i a g r a m O b j e c t K e y a n y T y p e z b w N T n L X > < a : K e y > < K e y > M e a s u r e s \ S u m   o f   P l a n   B u d g e t \ T a g I n f o \ F o r m u l a < / K e y > < / a : K e y > < a : V a l u e   i : t y p e = " M e a s u r e G r i d V i e w S t a t e I D i a g r a m T a g A d d i t i o n a l I n f o " / > < / a : K e y V a l u e O f D i a g r a m O b j e c t K e y a n y T y p e z b w N T n L X > < a : K e y V a l u e O f D i a g r a m O b j e c t K e y a n y T y p e z b w N T n L X > < a : K e y > < K e y > M e a s u r e s \ S u m   o f   P l a n   B u d g e t \ T a g I n f o \ V a l u e < / K e y > < / a : K e y > < a : V a l u e   i : t y p e = " M e a s u r e G r i d V i e w S t a t e I D i a g r a m T a g A d d i t i o n a l I n f o " / > < / a : K e y V a l u e O f D i a g r a m O b j e c t K e y a n y T y p e z b w N T n L X > < a : K e y V a l u e O f D i a g r a m O b j e c t K e y a n y T y p e z b w N T n L X > < a : K e y > < K e y > M e a s u r e s \ S u m   o f   P l a n   I n c o m e < / K e y > < / a : K e y > < a : V a l u e   i : t y p e = " M e a s u r e G r i d N o d e V i e w S t a t e " > < C o l u m n > 3 < / C o l u m n > < L a y e d O u t > t r u e < / L a y e d O u t > < W a s U I I n v i s i b l e > t r u e < / W a s U I I n v i s i b l e > < / a : V a l u e > < / a : K e y V a l u e O f D i a g r a m O b j e c t K e y a n y T y p e z b w N T n L X > < a : K e y V a l u e O f D i a g r a m O b j e c t K e y a n y T y p e z b w N T n L X > < a : K e y > < K e y > M e a s u r e s \ S u m   o f   P l a n   I n c o m e \ T a g I n f o \ F o r m u l a < / K e y > < / a : K e y > < a : V a l u e   i : t y p e = " M e a s u r e G r i d V i e w S t a t e I D i a g r a m T a g A d d i t i o n a l I n f o " / > < / a : K e y V a l u e O f D i a g r a m O b j e c t K e y a n y T y p e z b w N T n L X > < a : K e y V a l u e O f D i a g r a m O b j e c t K e y a n y T y p e z b w N T n L X > < a : K e y > < K e y > M e a s u r e s \ S u m   o f   P l a n   I n c o m e \ T a g I n f o \ V a l u e 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 C o l u m n s \ P l a n   I n c o m e < / K e y > < / a : K e y > < a : V a l u e   i : t y p e = " M e a s u r e G r i d N o d e V i e w S t a t e " > < C o l u m n > 3 < / C o l u m n > < L a y e d O u t > t r u e < / L a y e d O u t > < / a : V a l u e > < / a : K e y V a l u e O f D i a g r a m O b j e c t K e y a n y T y p e z b w N T n L X > < a : K e y V a l u e O f D i a g r a m O b j e c t K e y a n y T y p e z b w N T n L X > < a : K e y > < K e y > C o l u m n s \ P l a n   B u d g e t < / K e y > < / a : K e y > < a : V a l u e   i : t y p e = " M e a s u r e G r i d N o d e V i e w S t a t e " > < C o l u m n > 4 < / C o l u m n > < L a y e d O u t > t r u e < / L a y e d O u t > < / a : V a l u e > < / a : K e y V a l u e O f D i a g r a m O b j e c t K e y a n y T y p e z b w N T n L X > < a : K e y V a l u e O f D i a g r a m O b j e c t K e y a n y T y p e z b w N T n L X > < a : K e y > < K e y > C o l u m n s \ P e r c e n t < / K e y > < / a : K e y > < a : V a l u e   i : t y p e = " M e a s u r e G r i d N o d e V i e w S t a t e " > < C o l u m n > 5 < / C o l u m n > < L a y e d O u t > t r u e < / L a y e d O u t > < / a : V a l u e > < / a : K e y V a l u e O f D i a g r a m O b j e c t K e y a n y T y p e z b w N T n L X > < a : K e y V a l u e O f D i a g r a m O b j e c t K e y a n y T y p e z b w N T n L X > < a : K e y > < K e y > L i n k s \ & l t ; C o l u m n s \ S u m   o f   P l a n   B u d g e t & g t ; - & l t ; M e a s u r e s \ P l a n   B u d g e t & g t ; < / K e y > < / a : K e y > < a : V a l u e   i : t y p e = " M e a s u r e G r i d V i e w S t a t e I D i a g r a m L i n k " / > < / a : K e y V a l u e O f D i a g r a m O b j e c t K e y a n y T y p e z b w N T n L X > < a : K e y V a l u e O f D i a g r a m O b j e c t K e y a n y T y p e z b w N T n L X > < a : K e y > < K e y > L i n k s \ & l t ; C o l u m n s \ S u m   o f   P l a n   B u d g e t & g t ; - & l t ; M e a s u r e s \ P l a n   B u d g e t & g t ; \ C O L U M N < / K e y > < / a : K e y > < a : V a l u e   i : t y p e = " M e a s u r e G r i d V i e w S t a t e I D i a g r a m L i n k E n d p o i n t " / > < / a : K e y V a l u e O f D i a g r a m O b j e c t K e y a n y T y p e z b w N T n L X > < a : K e y V a l u e O f D i a g r a m O b j e c t K e y a n y T y p e z b w N T n L X > < a : K e y > < K e y > L i n k s \ & l t ; C o l u m n s \ S u m   o f   P l a n   B u d g e t & g t ; - & l t ; M e a s u r e s \ P l a n   B u d g e t & g t ; \ M E A S U R E < / K e y > < / a : K e y > < a : V a l u e   i : t y p e = " M e a s u r e G r i d V i e w S t a t e I D i a g r a m L i n k E n d p o i n t " / > < / a : K e y V a l u e O f D i a g r a m O b j e c t K e y a n y T y p e z b w N T n L X > < a : K e y V a l u e O f D i a g r a m O b j e c t K e y a n y T y p e z b w N T n L X > < a : K e y > < K e y > L i n k s \ & l t ; C o l u m n s \ S u m   o f   P l a n   I n c o m e & g t ; - & l t ; M e a s u r e s \ P l a n   I n c o m e & g t ; < / K e y > < / a : K e y > < a : V a l u e   i : t y p e = " M e a s u r e G r i d V i e w S t a t e I D i a g r a m L i n k " / > < / a : K e y V a l u e O f D i a g r a m O b j e c t K e y a n y T y p e z b w N T n L X > < a : K e y V a l u e O f D i a g r a m O b j e c t K e y a n y T y p e z b w N T n L X > < a : K e y > < K e y > L i n k s \ & l t ; C o l u m n s \ S u m   o f   P l a n   I n c o m e & g t ; - & l t ; M e a s u r e s \ P l a n   I n c o m e & g t ; \ C O L U M N < / K e y > < / a : K e y > < a : V a l u e   i : t y p e = " M e a s u r e G r i d V i e w S t a t e I D i a g r a m L i n k E n d p o i n t " / > < / a : K e y V a l u e O f D i a g r a m O b j e c t K e y a n y T y p e z b w N T n L X > < a : K e y V a l u e O f D i a g r a m O b j e c t K e y a n y T y p e z b w N T n L X > < a : K e y > < K e y > L i n k s \ & l t ; C o l u m n s \ S u m   o f   P l a n   I n c o m e & g t ; - & l t ; M e a s u r e s \ P l a n   I n c o m e & g t ; \ M E A S U R E < / K e y > < / a : K e y > < a : V a l u e   i : t y p e = " M e a s u r e G r i d V i e w S t a t e I D i a g r a m L i n k E n d p o i n t " / > < / a : K e y V a l u e O f D i a g r a m O b j e c t K e y a n y T y p e z b w N T n L X > < / V i e w S t a t e s > < / D i a g r a m M a n a g e r . S e r i a l i z a b l e D i a g r a m > < D i a g r a m M a n a g e r . S e r i a l i z a b l e D i a g r a m > < A d a p t e r   i : t y p e = " M e a s u r e D i a g r a m S a n d b o x A d a p t e r " > < T a b l e N a m e > M o n t h 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K e y > < / a : K e y > < a : V a l u e   i : t y p e = " M e a s u r e G r i d N o d e V i e w S t a t e " > < C o l u m n > 1 < / C o l u m n > < L a y e d O u t > t r u e < / L a y e d O u t > < / a : V a l u e > < / a : K e y V a l u e O f D i a g r a m O b j e c t K e y a n y T y p e z b w N T n L X > < a : K e y V a l u e O f D i a g r a m O b j e c t K e y a n y T y p e z b w N T n L X > < a : K e y > < K e y > C o l u m n s \ M o n t h < / K e y > < / a : K e y > < a : V a l u e   i : t y p e = " M e a s u r e G r i d N o d e V i e w S t a t e " > < 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 C o l u m n s \ P l a n   I n c o m e < / K e y > < / a : K e y > < a : V a l u e   i : t y p e = " T a b l e W i d g e t B a s e V i e w S t a t e " / > < / a : K e y V a l u e O f D i a g r a m O b j e c t K e y a n y T y p e z b w N T n L X > < a : K e y V a l u e O f D i a g r a m O b j e c t K e y a n y T y p e z b w N T n L X > < a : K e y > < K e y > C o l u m n s \ P l a n   B u d g e t < / K e y > < / a : K e y > < a : V a l u e   i : t y p e = " T a b l e W i d g e t B a s e V i e w S t a t e " / > < / a : K e y V a l u e O f D i a g r a m O b j e c t K e y a n y T y p e z b w N T n L X > < a : K e y V a l u e O f D i a g r a m O b j e c t K e y a n y T y p e z b w N T n L X > < a : K e y > < K e y > C o l u m n s \ P e r c e n t 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 C o l u m n s \ H o u s i n g < / K e y > < / a : K e y > < a : V a l u e   i : t y p e = " T a b l e W i d g e t B a s e V i e w S t a t e " / > < / a : K e y V a l u e O f D i a g r a m O b j e c t K e y a n y T y p e z b w N T n L X > < a : K e y V a l u e O f D i a g r a m O b j e c t K e y a n y T y p e z b w N T n L X > < a : K e y > < K e y > C o l u m n s \ E n t e r t a i n m e n t < / K e y > < / a : K e y > < a : V a l u e   i : t y p e = " T a b l e W i d g e t B a s e V i e w S t a t e " / > < / a : K e y V a l u e O f D i a g r a m O b j e c t K e y a n y T y p e z b w N T n L X > < a : K e y V a l u e O f D i a g r a m O b j e c t K e y a n y T y p e z b w N T n L X > < a : K e y > < K e y > C o l u m n s \ T r a n s p o r t a t i o n < / K e y > < / a : K e y > < a : V a l u e   i : t y p e = " T a b l e W i d g e t B a s e V i e w S t a t e " / > < / a : K e y V a l u e O f D i a g r a m O b j e c t K e y a n y T y p e z b w N T n L X > < a : K e y V a l u e O f D i a g r a m O b j e c t K e y a n y T y p e z b w N T n L X > < a : K e y > < K e y > C o l u m n s \ L o a n s < / K e y > < / a : K e y > < a : V a l u e   i : t y p e = " T a b l e W i d g e t B a s e V i e w S t a t e " / > < / a : K e y V a l u e O f D i a g r a m O b j e c t K e y a n y T y p e z b w N T n L X > < a : K e y V a l u e O f D i a g r a m O b j e c t K e y a n y T y p e z b w N T n L X > < a : K e y > < K e y > C o l u m n s \ I n s u r a n c e < / K e y > < / a : K e y > < a : V a l u e   i : t y p e = " T a b l e W i d g e t B a s e V i e w S t a t e " / > < / a : K e y V a l u e O f D i a g r a m O b j e c t K e y a n y T y p e z b w N T n L X > < a : K e y V a l u e O f D i a g r a m O b j e c t K e y a n y T y p e z b w N T n L X > < a : K e y > < K e y > C o l u m n s \ T a x e s < / 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 C o l u m n s \ S a v i n g s   o r   I n v e s t m e n t s < / K e y > < / a : K e y > < a : V a l u e   i : t y p e = " T a b l e W i d g e t B a s e V i e w S t a t e " / > < / a : K e y V a l u e O f D i a g r a m O b j e c t K e y a n y T y p e z b w N T n L X > < a : K e y V a l u e O f D i a g r a m O b j e c t K e y a n y T y p e z b w N T n L X > < a : K e y > < K e y > C o l u m n s \ P e t s < / K e y > < / a : K e y > < a : V a l u e   i : t y p e = " T a b l e W i d g e t B a s e V i e w S t a t e " / > < / a : K e y V a l u e O f D i a g r a m O b j e c t K e y a n y T y p e z b w N T n L X > < a : K e y V a l u e O f D i a g r a m O b j e c t K e y a n y T y p e z b w N T n L X > < a : K e y > < K e y > C o l u m n s \ G i f t s   a n d   D o n a t i o n s < / K e y > < / a : K e y > < a : V a l u e   i : t y p e = " T a b l e W i d g e t B a s e V i e w S t a t e " / > < / a : K e y V a l u e O f D i a g r a m O b j e c t K e y a n y T y p e z b w N T n L X > < a : K e y V a l u e O f D i a g r a m O b j e c t K e y a n y T y p e z b w N T n L X > < a : K e y > < K e y > C o l u m n s \ P e r s o n a l   C a r e < / K e y > < / a : K e y > < a : V a l u e   i : t y p e = " T a b l e W i d g e t B a s e V i e w S t a t e " / > < / a : K e y V a l u e O f D i a g r a m O b j e c t K e y a n y T y p e z b w N T n L X > < a : K e y V a l u e O f D i a g r a m O b j e c t K e y a n y T y p e z b w N T n L X > < a : K e y > < K e y > C o l u m n s \ L e g a l < / K e y > < / a : K e y > < a : V a l u e   i : t y p e = " T a b l e W i d g e t B a s e V i e w S t a t e " / > < / a : K e y V a l u e O f D i a g r a m O b j e c t K e y a n y T y p e z b w N T n L X > < a : K e y V a l u e O f D i a g r a m O b j e c t K e y a n y T y p e z b w N T n L X > < a : K e y > < K e y > C o l u m n s \ S h o p p i n g 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 C o l u m n s \ A c t u a l   B u d g e t < / K e y > < / a : K e y > < a : V a l u e   i : t y p e = " T a b l e W i d g e t B a s e V i e w S t a t e " / > < / a : K e y V a l u e O f D i a g r a m O b j e c t K e y a n y T y p e z b w N T n L X > < a : K e y V a l u e O f D i a g r a m O b j e c t K e y a n y T y p e z b w N T n L X > < a : K e y > < K e y > C o l u m n s \ A c t u a l   I n c o m e 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T a b l e 2 4 " > < 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F i r s t _ L i s t " > < C u s t o m C o n t e n t > < ! [ C D A T A [ < T a b l e W i d g e t G r i d S e r i a l i z a t i o n   x m l n s : x s d = " h t t p : / / w w w . w 3 . o r g / 2 0 0 1 / X M L S c h e m a "   x m l n s : x s i = " h t t p : / / w w w . w 3 . o r g / 2 0 0 1 / X M L S c h e m a - i n s t a n c e " > < C o l u m n S u g g e s t e d T y p e   / > < C o l u m n F o r m a t   / > < C o l u m n A c c u r a c y   / > < C o l u m n C u r r e n c y S y m b o l   / > < C o l u m n P o s i t i v e P a t t e r n   / > < C o l u m n N e g a t i v e P a t t e r n   / > < C o l u m n W i d t h s > < i t e m > < k e y > < s t r i n g > O r d e r < / s t r i n g > < / k e y > < v a l u e > < i n t > 8 9 < / i n t > < / v a l u e > < / i t e m > < i t e m > < k e y > < s t r i n g > C a t e g o r y < / s t r i n g > < / k e y > < v a l u e > < i n t > 1 1 2 < / i n t > < / v a l u e > < / i t e m > < / C o l u m n W i d t h s > < C o l u m n D i s p l a y I n d e x > < i t e m > < k e y > < s t r i n g > O r d e r < / 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 M o n t h < / s t r i n g > < / k e y > < v a l u e > < i n t > 9 5 < / i n t > < / v a l u e > < / i t e m > < i t e m > < k e y > < s t r i n g > D a t e < / s t r i n g > < / k e y > < v a l u e > < i n t > 7 9 < / i n t > < / v a l u e > < / i t e m > < i t e m > < k e y > < s t r i n g > E x p e n s e s < / s t r i n g > < / k e y > < v a l u e > < i n t > 1 1 4 < / i n t > < / v a l u e > < / i t e m > < i t e m > < k e y > < s t r i n g > C a t e g o r y < / s t r i n g > < / k e y > < v a l u e > < i n t > 1 1 2 < / i n t > < / v a l u e > < / i t e m > < i t e m > < k e y > < s t r i n g > S u b - C a t e g o r y < / s t r i n g > < / k e y > < v a l u e > < i n t > 1 4 7 < / i n t > < / v a l u e > < / i t e m > < i t e m > < k e y > < s t r i n g > A c t u a l   I n c o m e < / s t r i n g > < / k e y > < v a l u e > < i n t > 1 5 3 < / i n t > < / v a l u e > < / i t e m > < i t e m > < k e y > < s t r i n g > A c t u a l   B u d g e t < / s t r i n g > < / k e y > < v a l u e > < i n t > 1 4 9 < / i n t > < / v a l u e > < / i t e m > < i t e m > < k e y > < s t r i n g > B a l a n c e < / s t r i n g > < / k e y > < v a l u e > < i n t > 1 0 2 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 Y e a r < / s t r i n g > < / k e y > < v a l u e > < i n t > 0 < / i n t > < / v a l u e > < / i t e m > < i t e m > < k e y > < s t r i n g > M o n t h < / s t r i n g > < / k e y > < v a l u e > < i n t > 1 < / i n t > < / v a l u e > < / i t e m > < i t e m > < k e y > < s t r i n g > D a t e < / s t r i n g > < / k e y > < v a l u e > < i n t > 2 < / i n t > < / v a l u e > < / i t e m > < i t e m > < k e y > < s t r i n g > E x p e n s e s < / s t r i n g > < / k e y > < v a l u e > < i n t > 3 < / i n t > < / v a l u e > < / i t e m > < i t e m > < k e y > < s t r i n g > C a t e g o r y < / s t r i n g > < / k e y > < v a l u e > < i n t > 4 < / i n t > < / v a l u e > < / i t e m > < i t e m > < k e y > < s t r i n g > S u b - C a t e g o r y < / s t r i n g > < / k e y > < v a l u e > < i n t > 5 < / i n t > < / v a l u e > < / i t e m > < i t e m > < k e y > < s t r i n g > A c t u a l   I n c o m e < / s t r i n g > < / k e y > < v a l u e > < i n t > 1 2 < / i n t > < / v a l u e > < / i t e m > < i t e m > < k e y > < s t r i n g > A c t u a l   B u d g e t < / s t r i n g > < / k e y > < v a l u e > < i n t > 1 1 < / i n t > < / v a l u e > < / i t e m > < i t e m > < k e y > < s t r i n g > B a l a n c e < / 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M o n t h ] ] > < / C u s t o m C o n t e n t > < / G e m i n i > 
</file>

<file path=customXml/item21.xml>��< ? x m l   v e r s i o n = " 1 . 0 "   e n c o d i n g = " U T F - 1 6 " ? > < G e m i n i   x m l n s = " h t t p : / / g e m i n i / p i v o t c u s t o m i z a t i o n / T a b l e X M L _ P l a n   v   A c t u a l " > < 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 M o n t h < / s t r i n g > < / k e y > < v a l u e > < i n t > 9 5 < / i n t > < / v a l u e > < / i t e m > < i t e m > < k e y > < s t r i n g > C a t e g o r y < / s t r i n g > < / k e y > < v a l u e > < i n t > 1 1 2 < / i n t > < / v a l u e > < / i t e m > < i t e m > < k e y > < s t r i n g > P l a n   I n c o m e < / s t r i n g > < / k e y > < v a l u e > < i n t > 1 3 8 < / i n t > < / v a l u e > < / i t e m > < i t e m > < k e y > < s t r i n g > P l a n   B u d g e t < / s t r i n g > < / k e y > < v a l u e > < i n t > 1 3 4 < / i n t > < / v a l u e > < / i t e m > < i t e m > < k e y > < s t r i n g > P e r c e n t < / s t r i n g > < / k e y > < v a l u e > < i n t > 1 0 2 < / i n t > < / v a l u e > < / i t e m > < / C o l u m n W i d t h s > < C o l u m n D i s p l a y I n d e x > < i t e m > < k e y > < s t r i n g > Y e a r < / s t r i n g > < / k e y > < v a l u e > < i n t > 0 < / i n t > < / v a l u e > < / i t e m > < i t e m > < k e y > < s t r i n g > M o n t h < / s t r i n g > < / k e y > < v a l u e > < i n t > 1 < / i n t > < / v a l u e > < / i t e m > < i t e m > < k e y > < s t r i n g > C a t e g o r y < / s t r i n g > < / k e y > < v a l u e > < i n t > 2 < / i n t > < / v a l u e > < / i t e m > < i t e m > < k e y > < s t r i n g > P l a n   I n c o m e < / s t r i n g > < / k e y > < v a l u e > < i n t > 3 < / i n t > < / v a l u e > < / i t e m > < i t e m > < k e y > < s t r i n g > P l a n   B u d g e t < / s t r i n g > < / k e y > < v a l u e > < i n t > 4 < / i n t > < / v a l u e > < / i t e m > < i t e m > < k e y > < s t r i n g > P e r c e n t < / 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M o n t h " > < 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 9 5 < / i n t > < / v a l u e > < / i t e m > < i t e m > < k e y > < s t r i n g > O r d e r < / s t r i n g > < / k e y > < v a l u e > < i n t > 8 9 < / i n t > < / v a l u e > < / i t e m > < / C o l u m n W i d t h s > < C o l u m n D i s p l a y I n d e x > < i t e m > < k e y > < s t r i n g > M o n t h < / s t r i n g > < / k e y > < v a l u e > < i n t > 0 < / i n t > < / v a l u e > < / i t e m > < i t e m > < k e y > < s t r i n g > O r d e r < / 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P l a n   v   A c t u a l , D a t a , F i r s t _ L i s t , S e c o n d _ L i s t , T a b l e 2 4 , M o n t h ] ] > < / C u s t o m C o n t e n t > < / G e m i n i > 
</file>

<file path=customXml/item24.xml>��< ? x m l   v e r s i o n = " 1 . 0 "   e n c o d i n g = " U T F - 1 6 " ? > < G e m i n i   x m l n s = " h t t p : / / g e m i n i / p i v o t c u s t o m i z a t i o n / I s S a n d b o x E m b e d d e d " > < C u s t o m C o n t e n t > < ! [ C D A T A [ y e s ] ] > < / C u s t o m C o n t e n t > < / G e m i n i > 
</file>

<file path=customXml/item3.xml>��< ? x m l   v e r s i o n = " 1 . 0 "   e n c o d i n g = " U T F - 1 6 " ? > < G e m i n i   x m l n s = " h t t p : / / g e m i n i / p i v o t c u s t o m i z a t i o n / M a n u a l C a l c M o d e " > < C u s t o m C o n t e n t > < ! [ C D A T A [ F a l s e ] ] > < / C u s t o m C o n t e n t > < / G e m i n i > 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 2 0 2 1 - 0 2 - 1 2 T 0 6 : 3 4 : 4 4 . 2 4 0 1 2 1 - 0 6 : 0 0 < / L a s t P r o c e s s e d T i m e > < / D a t a M o d e l i n g S a n d b o x . S e r i a l i z e d S a n d b o x E r r o r C a c h e > ] ] > < / C u s t o m C o n t e n t > < / G e m i n i > 
</file>

<file path=customXml/item7.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A984460-9BC5-468F-9505-DB7B7609F494}">
  <ds:schemaRefs/>
</ds:datastoreItem>
</file>

<file path=customXml/itemProps10.xml><?xml version="1.0" encoding="utf-8"?>
<ds:datastoreItem xmlns:ds="http://schemas.openxmlformats.org/officeDocument/2006/customXml" ds:itemID="{2559BD64-5B45-4157-A6EE-A4099D9D0D21}">
  <ds:schemaRefs/>
</ds:datastoreItem>
</file>

<file path=customXml/itemProps11.xml><?xml version="1.0" encoding="utf-8"?>
<ds:datastoreItem xmlns:ds="http://schemas.openxmlformats.org/officeDocument/2006/customXml" ds:itemID="{D3BC02E4-2170-41E6-A9E3-8FA3EC61677F}">
  <ds:schemaRefs/>
</ds:datastoreItem>
</file>

<file path=customXml/itemProps12.xml><?xml version="1.0" encoding="utf-8"?>
<ds:datastoreItem xmlns:ds="http://schemas.openxmlformats.org/officeDocument/2006/customXml" ds:itemID="{693B96EA-5386-4A4A-8D7C-9EBA837ED21D}">
  <ds:schemaRefs/>
</ds:datastoreItem>
</file>

<file path=customXml/itemProps13.xml><?xml version="1.0" encoding="utf-8"?>
<ds:datastoreItem xmlns:ds="http://schemas.openxmlformats.org/officeDocument/2006/customXml" ds:itemID="{FAB3D15C-CC99-459F-8946-3BFB867CC678}">
  <ds:schemaRefs/>
</ds:datastoreItem>
</file>

<file path=customXml/itemProps14.xml><?xml version="1.0" encoding="utf-8"?>
<ds:datastoreItem xmlns:ds="http://schemas.openxmlformats.org/officeDocument/2006/customXml" ds:itemID="{A4B173C4-1BC4-4AC4-B71E-1FA9D9D3AED0}">
  <ds:schemaRefs/>
</ds:datastoreItem>
</file>

<file path=customXml/itemProps15.xml><?xml version="1.0" encoding="utf-8"?>
<ds:datastoreItem xmlns:ds="http://schemas.openxmlformats.org/officeDocument/2006/customXml" ds:itemID="{C792BC26-447F-45F0-854A-5D3EF68FB74E}">
  <ds:schemaRefs/>
</ds:datastoreItem>
</file>

<file path=customXml/itemProps16.xml><?xml version="1.0" encoding="utf-8"?>
<ds:datastoreItem xmlns:ds="http://schemas.openxmlformats.org/officeDocument/2006/customXml" ds:itemID="{712E27A1-9A94-40E4-9C03-90BEE0D96D87}">
  <ds:schemaRefs/>
</ds:datastoreItem>
</file>

<file path=customXml/itemProps17.xml><?xml version="1.0" encoding="utf-8"?>
<ds:datastoreItem xmlns:ds="http://schemas.openxmlformats.org/officeDocument/2006/customXml" ds:itemID="{9BBA6D8B-D32F-4F5C-9173-0B584DAB6DC7}">
  <ds:schemaRefs/>
</ds:datastoreItem>
</file>

<file path=customXml/itemProps18.xml><?xml version="1.0" encoding="utf-8"?>
<ds:datastoreItem xmlns:ds="http://schemas.openxmlformats.org/officeDocument/2006/customXml" ds:itemID="{E7786734-1866-4BE0-9B27-F6F46F744730}">
  <ds:schemaRefs/>
</ds:datastoreItem>
</file>

<file path=customXml/itemProps19.xml><?xml version="1.0" encoding="utf-8"?>
<ds:datastoreItem xmlns:ds="http://schemas.openxmlformats.org/officeDocument/2006/customXml" ds:itemID="{EA585FC6-773C-45AA-BFC9-11B49DF6817E}">
  <ds:schemaRefs/>
</ds:datastoreItem>
</file>

<file path=customXml/itemProps2.xml><?xml version="1.0" encoding="utf-8"?>
<ds:datastoreItem xmlns:ds="http://schemas.openxmlformats.org/officeDocument/2006/customXml" ds:itemID="{47B48F09-1409-4FDD-B596-0DD4B847D5BE}">
  <ds:schemaRefs/>
</ds:datastoreItem>
</file>

<file path=customXml/itemProps20.xml><?xml version="1.0" encoding="utf-8"?>
<ds:datastoreItem xmlns:ds="http://schemas.openxmlformats.org/officeDocument/2006/customXml" ds:itemID="{55A33885-3725-49FF-8FCB-63442D4057E0}">
  <ds:schemaRefs/>
</ds:datastoreItem>
</file>

<file path=customXml/itemProps21.xml><?xml version="1.0" encoding="utf-8"?>
<ds:datastoreItem xmlns:ds="http://schemas.openxmlformats.org/officeDocument/2006/customXml" ds:itemID="{F8C7FA02-0170-4FA3-B10D-013433E291A4}">
  <ds:schemaRefs/>
</ds:datastoreItem>
</file>

<file path=customXml/itemProps22.xml><?xml version="1.0" encoding="utf-8"?>
<ds:datastoreItem xmlns:ds="http://schemas.openxmlformats.org/officeDocument/2006/customXml" ds:itemID="{820B9710-BC41-415E-AEED-072A1A369CA2}">
  <ds:schemaRefs/>
</ds:datastoreItem>
</file>

<file path=customXml/itemProps23.xml><?xml version="1.0" encoding="utf-8"?>
<ds:datastoreItem xmlns:ds="http://schemas.openxmlformats.org/officeDocument/2006/customXml" ds:itemID="{93A39358-99CE-4C5E-8045-3B5A8059CEAF}">
  <ds:schemaRefs/>
</ds:datastoreItem>
</file>

<file path=customXml/itemProps24.xml><?xml version="1.0" encoding="utf-8"?>
<ds:datastoreItem xmlns:ds="http://schemas.openxmlformats.org/officeDocument/2006/customXml" ds:itemID="{066D9A41-250D-44E6-8944-0A7D84D5FCED}">
  <ds:schemaRefs/>
</ds:datastoreItem>
</file>

<file path=customXml/itemProps3.xml><?xml version="1.0" encoding="utf-8"?>
<ds:datastoreItem xmlns:ds="http://schemas.openxmlformats.org/officeDocument/2006/customXml" ds:itemID="{A051AD3B-D47C-45FB-BB84-E9ACF0F51661}">
  <ds:schemaRefs/>
</ds:datastoreItem>
</file>

<file path=customXml/itemProps4.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5.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9FCD46BE-45AA-4408-853A-40C54EDCD212}">
  <ds:schemaRefs/>
</ds:datastoreItem>
</file>

<file path=customXml/itemProps7.xml><?xml version="1.0" encoding="utf-8"?>
<ds:datastoreItem xmlns:ds="http://schemas.openxmlformats.org/officeDocument/2006/customXml" ds:itemID="{62ECAD3B-EAEA-4383-94BC-FD59E091E898}">
  <ds:schemaRefs>
    <ds:schemaRef ds:uri="16c05727-aa75-4e4a-9b5f-8a80a1165891"/>
    <ds:schemaRef ds:uri="http://schemas.microsoft.com/office/infopath/2007/PartnerControls"/>
    <ds:schemaRef ds:uri="http://purl.org/dc/elements/1.1/"/>
    <ds:schemaRef ds:uri="http://purl.org/dc/terms/"/>
    <ds:schemaRef ds:uri="71af3243-3dd4-4a8d-8c0d-dd76da1f02a5"/>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8.xml><?xml version="1.0" encoding="utf-8"?>
<ds:datastoreItem xmlns:ds="http://schemas.openxmlformats.org/officeDocument/2006/customXml" ds:itemID="{91FBF338-B24A-488C-8FEB-C7C3DB530E8A}">
  <ds:schemaRefs/>
</ds:datastoreItem>
</file>

<file path=customXml/itemProps9.xml><?xml version="1.0" encoding="utf-8"?>
<ds:datastoreItem xmlns:ds="http://schemas.openxmlformats.org/officeDocument/2006/customXml" ds:itemID="{EBCF89BE-60C8-4788-8299-987410B7CFA4}">
  <ds:schemaRefs/>
</ds:datastoreItem>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4" baseType="variant">
      <vt:variant>
        <vt:lpstr>Worksheets</vt:lpstr>
      </vt:variant>
      <vt:variant>
        <vt:i4>15</vt:i4>
      </vt:variant>
      <vt:variant>
        <vt:lpstr>Named Ranges</vt:lpstr>
      </vt:variant>
      <vt:variant>
        <vt:i4>17</vt:i4>
      </vt:variant>
    </vt:vector>
  </HeadingPairs>
  <TitlesOfParts>
    <vt:vector size="32" baseType="lpstr">
      <vt:lpstr>Dashboard</vt:lpstr>
      <vt:lpstr>Data</vt:lpstr>
      <vt:lpstr>Plan Data</vt:lpstr>
      <vt:lpstr>Test</vt:lpstr>
      <vt:lpstr>Report Actual Pivot</vt:lpstr>
      <vt:lpstr>Report Plan Pivot</vt:lpstr>
      <vt:lpstr>Income v Expense</vt:lpstr>
      <vt:lpstr>PlanvActual by Cat Pivot</vt:lpstr>
      <vt:lpstr>Actual by SubCat Pivot</vt:lpstr>
      <vt:lpstr>PlanvActual by Year Pivot</vt:lpstr>
      <vt:lpstr>Plan Piechart</vt:lpstr>
      <vt:lpstr>Actual Piechart</vt:lpstr>
      <vt:lpstr>IncomevSaving</vt:lpstr>
      <vt:lpstr>UniqueLists</vt:lpstr>
      <vt:lpstr>Payslip</vt:lpstr>
      <vt:lpstr>Category</vt:lpstr>
      <vt:lpstr>Entertainment</vt:lpstr>
      <vt:lpstr>Data!Extract</vt:lpstr>
      <vt:lpstr>Food</vt:lpstr>
      <vt:lpstr>Gifts_and_Donations</vt:lpstr>
      <vt:lpstr>Housing</vt:lpstr>
      <vt:lpstr>Income</vt:lpstr>
      <vt:lpstr>Insurance</vt:lpstr>
      <vt:lpstr>Legal</vt:lpstr>
      <vt:lpstr>Loans</vt:lpstr>
      <vt:lpstr>Other</vt:lpstr>
      <vt:lpstr>Personal_Care</vt:lpstr>
      <vt:lpstr>Pets</vt:lpstr>
      <vt:lpstr>Savings_or_Investments</vt:lpstr>
      <vt:lpstr>Shopping</vt:lpstr>
      <vt:lpstr>Taxes</vt:lpstr>
      <vt:lpstr>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2022-03-28T14:01:04Z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d546e5e1-5d42-4630-bacd-c69bfdcbd5e8_Enabled">
    <vt:lpwstr>true</vt:lpwstr>
  </property>
  <property fmtid="{D5CDD505-2E9C-101B-9397-08002B2CF9AE}" pid="4" name="MSIP_Label_d546e5e1-5d42-4630-bacd-c69bfdcbd5e8_SetDate">
    <vt:lpwstr>2022-03-25T15:30:41Z</vt:lpwstr>
  </property>
  <property fmtid="{D5CDD505-2E9C-101B-9397-08002B2CF9AE}" pid="5" name="MSIP_Label_d546e5e1-5d42-4630-bacd-c69bfdcbd5e8_Method">
    <vt:lpwstr>Standard</vt:lpwstr>
  </property>
  <property fmtid="{D5CDD505-2E9C-101B-9397-08002B2CF9AE}" pid="6" name="MSIP_Label_d546e5e1-5d42-4630-bacd-c69bfdcbd5e8_Name">
    <vt:lpwstr>d546e5e1-5d42-4630-bacd-c69bfdcbd5e8</vt:lpwstr>
  </property>
  <property fmtid="{D5CDD505-2E9C-101B-9397-08002B2CF9AE}" pid="7" name="MSIP_Label_d546e5e1-5d42-4630-bacd-c69bfdcbd5e8_SiteId">
    <vt:lpwstr>96ece526-9c7d-48b0-8daf-8b93c90a5d18</vt:lpwstr>
  </property>
  <property fmtid="{D5CDD505-2E9C-101B-9397-08002B2CF9AE}" pid="8" name="MSIP_Label_d546e5e1-5d42-4630-bacd-c69bfdcbd5e8_ActionId">
    <vt:lpwstr>61efd144-9ebf-4477-b2a9-db5b399035af</vt:lpwstr>
  </property>
  <property fmtid="{D5CDD505-2E9C-101B-9397-08002B2CF9AE}" pid="9" name="MSIP_Label_d546e5e1-5d42-4630-bacd-c69bfdcbd5e8_ContentBits">
    <vt:lpwstr>0</vt:lpwstr>
  </property>
  <property fmtid="{D5CDD505-2E9C-101B-9397-08002B2CF9AE}" pid="10" name="SmartTag">
    <vt:lpwstr>4</vt:lpwstr>
  </property>
</Properties>
</file>