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 tap ve nha\"/>
    </mc:Choice>
  </mc:AlternateContent>
  <xr:revisionPtr revIDLastSave="0" documentId="13_ncr:1_{895B208D-E4F5-4836-9B04-F766F8EC0646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b1" sheetId="7" r:id="rId1"/>
    <sheet name="b2" sheetId="2" r:id="rId2"/>
    <sheet name="b3" sheetId="3" r:id="rId3"/>
    <sheet name="b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G18" i="3"/>
  <c r="G21" i="3"/>
  <c r="F21" i="3"/>
  <c r="F20" i="3"/>
  <c r="G20" i="3"/>
  <c r="F19" i="3"/>
  <c r="G19" i="3"/>
  <c r="E18" i="3"/>
  <c r="E19" i="3"/>
  <c r="E20" i="3"/>
  <c r="E21" i="3"/>
  <c r="D4" i="7" l="1"/>
  <c r="F3" i="2"/>
  <c r="C4" i="7"/>
  <c r="D3" i="2" l="1"/>
  <c r="F20" i="2"/>
  <c r="F19" i="2"/>
  <c r="F18" i="2"/>
  <c r="F17" i="2"/>
  <c r="F16" i="2"/>
  <c r="F15" i="2"/>
  <c r="F14" i="2"/>
  <c r="F13" i="2"/>
  <c r="G13" i="2" s="1"/>
  <c r="F12" i="2"/>
  <c r="F11" i="2"/>
  <c r="F10" i="2"/>
  <c r="F9" i="2"/>
  <c r="G9" i="2" s="1"/>
  <c r="F8" i="2"/>
  <c r="F7" i="2"/>
  <c r="G7" i="2" s="1"/>
  <c r="F6" i="2"/>
  <c r="F5" i="2"/>
  <c r="G5" i="2" s="1"/>
  <c r="F4" i="2"/>
  <c r="G11" i="2"/>
  <c r="G15" i="2"/>
  <c r="G17" i="2"/>
  <c r="G19" i="2"/>
  <c r="G4" i="2"/>
  <c r="G6" i="2"/>
  <c r="G8" i="2"/>
  <c r="G10" i="2"/>
  <c r="G12" i="2"/>
  <c r="G14" i="2"/>
  <c r="G16" i="2"/>
  <c r="G18" i="2"/>
  <c r="G20" i="2"/>
  <c r="G3" i="2"/>
  <c r="F18" i="7" l="1"/>
  <c r="D18" i="7"/>
  <c r="C18" i="7"/>
  <c r="B18" i="7"/>
  <c r="F17" i="7"/>
  <c r="D17" i="7"/>
  <c r="C17" i="7"/>
  <c r="B17" i="7"/>
  <c r="F16" i="7"/>
  <c r="D16" i="7"/>
  <c r="C16" i="7"/>
  <c r="B16" i="7"/>
  <c r="F15" i="7"/>
  <c r="D15" i="7"/>
  <c r="C15" i="7"/>
  <c r="B15" i="7"/>
  <c r="F14" i="7"/>
  <c r="D14" i="7"/>
  <c r="C14" i="7"/>
  <c r="B14" i="7"/>
  <c r="F13" i="7"/>
  <c r="D13" i="7"/>
  <c r="C13" i="7"/>
  <c r="B13" i="7"/>
  <c r="F12" i="7"/>
  <c r="D12" i="7"/>
  <c r="C12" i="7"/>
  <c r="B12" i="7"/>
  <c r="F11" i="7"/>
  <c r="D11" i="7"/>
  <c r="C11" i="7"/>
  <c r="B11" i="7"/>
  <c r="F10" i="7"/>
  <c r="D10" i="7"/>
  <c r="C10" i="7"/>
  <c r="B10" i="7"/>
  <c r="F9" i="7"/>
  <c r="D9" i="7"/>
  <c r="C9" i="7"/>
  <c r="B9" i="7"/>
  <c r="F8" i="7"/>
  <c r="D8" i="7"/>
  <c r="C8" i="7"/>
  <c r="B8" i="7"/>
  <c r="F7" i="7"/>
  <c r="D7" i="7"/>
  <c r="C7" i="7"/>
  <c r="B7" i="7"/>
  <c r="F6" i="7"/>
  <c r="D6" i="7"/>
  <c r="C6" i="7"/>
  <c r="B6" i="7"/>
  <c r="F5" i="7"/>
  <c r="D5" i="7"/>
  <c r="C5" i="7"/>
  <c r="B5" i="7"/>
  <c r="F4" i="7"/>
  <c r="B4" i="7"/>
  <c r="D4" i="2"/>
  <c r="G5" i="4"/>
  <c r="G6" i="4"/>
  <c r="G9" i="4"/>
  <c r="G10" i="4"/>
  <c r="G13" i="4"/>
  <c r="G3" i="4"/>
  <c r="F4" i="4"/>
  <c r="I4" i="4" s="1"/>
  <c r="F5" i="4"/>
  <c r="I5" i="4" s="1"/>
  <c r="F6" i="4"/>
  <c r="H6" i="4" s="1"/>
  <c r="F7" i="4"/>
  <c r="G7" i="4" s="1"/>
  <c r="F8" i="4"/>
  <c r="I8" i="4" s="1"/>
  <c r="F9" i="4"/>
  <c r="I9" i="4" s="1"/>
  <c r="F10" i="4"/>
  <c r="H10" i="4" s="1"/>
  <c r="F11" i="4"/>
  <c r="G11" i="4" s="1"/>
  <c r="F12" i="4"/>
  <c r="I12" i="4" s="1"/>
  <c r="F13" i="4"/>
  <c r="I13" i="4" s="1"/>
  <c r="F3" i="4"/>
  <c r="I3" i="4" s="1"/>
  <c r="J4" i="3"/>
  <c r="J7" i="3"/>
  <c r="J8" i="3"/>
  <c r="J11" i="3"/>
  <c r="J12" i="3"/>
  <c r="J15" i="3"/>
  <c r="J16" i="3"/>
  <c r="I4" i="3"/>
  <c r="I5" i="3"/>
  <c r="J5" i="3" s="1"/>
  <c r="I6" i="3"/>
  <c r="J6" i="3" s="1"/>
  <c r="I7" i="3"/>
  <c r="I8" i="3"/>
  <c r="I9" i="3"/>
  <c r="J9" i="3" s="1"/>
  <c r="I10" i="3"/>
  <c r="J10" i="3" s="1"/>
  <c r="I11" i="3"/>
  <c r="I12" i="3"/>
  <c r="I13" i="3"/>
  <c r="J13" i="3" s="1"/>
  <c r="I14" i="3"/>
  <c r="J14" i="3" s="1"/>
  <c r="I15" i="3"/>
  <c r="I16" i="3"/>
  <c r="I17" i="3"/>
  <c r="J17" i="3" s="1"/>
  <c r="I3" i="3"/>
  <c r="J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K3" i="2" l="1"/>
  <c r="I11" i="4"/>
  <c r="I7" i="4"/>
  <c r="J19" i="2"/>
  <c r="H11" i="4"/>
  <c r="H7" i="4"/>
  <c r="H3" i="4"/>
  <c r="I10" i="4"/>
  <c r="I6" i="4"/>
  <c r="K4" i="2"/>
  <c r="L4" i="2" s="1"/>
  <c r="H12" i="4"/>
  <c r="H8" i="4"/>
  <c r="H4" i="4"/>
  <c r="G12" i="4"/>
  <c r="G8" i="4"/>
  <c r="G4" i="4"/>
  <c r="H13" i="4"/>
  <c r="H9" i="4"/>
  <c r="H5" i="4"/>
  <c r="J21" i="2"/>
  <c r="J20" i="2"/>
  <c r="J22" i="2"/>
  <c r="J18" i="2"/>
  <c r="L3" i="2"/>
  <c r="K5" i="2"/>
  <c r="L5" i="2" s="1"/>
  <c r="K6" i="2"/>
  <c r="L6" i="2" s="1"/>
  <c r="M6" i="2" l="1"/>
  <c r="N6" i="2" s="1"/>
  <c r="M4" i="2"/>
  <c r="N4" i="2" s="1"/>
  <c r="M5" i="2"/>
  <c r="N5" i="2" s="1"/>
  <c r="M3" i="2"/>
  <c r="N3" i="2" s="1"/>
</calcChain>
</file>

<file path=xl/sharedStrings.xml><?xml version="1.0" encoding="utf-8"?>
<sst xmlns="http://schemas.openxmlformats.org/spreadsheetml/2006/main" count="208" uniqueCount="185">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</sst>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.##0.00_);_(* \(#.##0.00\);_(* &quot;-&quot;??_);_(@_)"/>
    <numFmt numFmtId="166" formatCode="_(* #,##0_);_(* \(#,##0\);_(* &quot;-&quot;??_);_(@_)"/>
    <numFmt numFmtId="167" formatCode="0.0"/>
    <numFmt numFmtId="168" formatCode="_-* #,##0\ [$₫-42A]_-;\-* #,##0\ [$₫-42A]_-;_-* &quot;-&quot;??\ [$₫-42A]_-;_-@_-"/>
  </numFmts>
  <fonts count="36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Calibri"/>
      <family val="2"/>
      <scheme val="minor"/>
    </font>
    <font>
      <sz val="15"/>
      <name val="Times New Roman"/>
      <family val="1"/>
    </font>
    <font>
      <b/>
      <sz val="14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5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164" fontId="33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6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6" fontId="10" fillId="0" borderId="14" xfId="1" applyNumberFormat="1" applyFont="1" applyBorder="1"/>
    <xf numFmtId="0" fontId="10" fillId="0" borderId="7" xfId="1" applyFont="1" applyBorder="1"/>
    <xf numFmtId="166" fontId="10" fillId="0" borderId="14" xfId="2" applyNumberFormat="1" applyFont="1" applyFill="1" applyBorder="1"/>
    <xf numFmtId="166" fontId="10" fillId="0" borderId="21" xfId="2" applyNumberFormat="1" applyFont="1" applyFill="1" applyBorder="1"/>
    <xf numFmtId="166" fontId="10" fillId="0" borderId="8" xfId="1" applyNumberFormat="1" applyFont="1" applyBorder="1"/>
    <xf numFmtId="0" fontId="10" fillId="0" borderId="9" xfId="1" applyFont="1" applyBorder="1"/>
    <xf numFmtId="166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5" fillId="0" borderId="0" xfId="1" applyFont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6" fontId="10" fillId="0" borderId="14" xfId="6" applyNumberFormat="1" applyFont="1" applyBorder="1"/>
    <xf numFmtId="166" fontId="10" fillId="0" borderId="0" xfId="1" applyNumberFormat="1" applyFont="1"/>
    <xf numFmtId="166" fontId="10" fillId="0" borderId="8" xfId="6" applyNumberFormat="1" applyFont="1" applyBorder="1"/>
    <xf numFmtId="166" fontId="2" fillId="0" borderId="0" xfId="6" applyNumberFormat="1" applyFont="1"/>
    <xf numFmtId="1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2" xfId="0" applyFont="1" applyBorder="1"/>
    <xf numFmtId="0" fontId="34" fillId="12" borderId="14" xfId="0" applyFont="1" applyFill="1" applyBorder="1" applyAlignment="1">
      <alignment horizontal="right"/>
    </xf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35" fillId="13" borderId="2" xfId="0" applyFont="1" applyFill="1" applyBorder="1"/>
    <xf numFmtId="0" fontId="1" fillId="2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168" fontId="10" fillId="0" borderId="14" xfId="6" applyNumberFormat="1" applyFont="1" applyBorder="1"/>
    <xf numFmtId="167" fontId="21" fillId="0" borderId="14" xfId="0" applyNumberFormat="1" applyFont="1" applyBorder="1"/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10" fillId="0" borderId="14" xfId="1" applyFont="1" applyBorder="1"/>
    <xf numFmtId="0" fontId="13" fillId="0" borderId="25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0" fillId="8" borderId="9" xfId="1" applyFont="1" applyFill="1" applyBorder="1"/>
  </cellXfs>
  <cellStyles count="7">
    <cellStyle name="Comma" xfId="6" builtinId="3"/>
    <cellStyle name="Comma 2" xfId="2" xr:uid="{00000000-0005-0000-0000-000001000000}"/>
    <cellStyle name="Heading 1" xfId="3" builtinId="16"/>
    <cellStyle name="Heading 2" xfId="4" builtinId="17"/>
    <cellStyle name="Normal" xfId="0" builtinId="0"/>
    <cellStyle name="Normal 2" xfId="5" xr:uid="{00000000-0005-0000-0000-000005000000}"/>
    <cellStyle name="Normal 3" xfId="1" xr:uid="{00000000-0005-0000-0000-000006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D34EA4-DD5C-450A-9185-3DF9B20CB07A}" name="Table13" displayName="Table13" ref="A3:F26" totalsRowShown="0" headerRowDxfId="7" dataDxfId="6" tableBorderDxfId="5">
  <autoFilter ref="A3:F26" xr:uid="{F98B8042-CDD4-4A0C-B4B9-B339873C44AD}"/>
  <tableColumns count="6">
    <tableColumn id="1" xr3:uid="{2007398D-E243-444C-B523-F64A5B3D187A}" name="Mã thí sinh" dataDxfId="4"/>
    <tableColumn id="2" xr3:uid="{9F548BF3-2BAD-45F7-8E9B-6F880EFF6290}" name="Tên thí sinh" dataDxfId="3"/>
    <tableColumn id="3" xr3:uid="{2C9BE991-B308-408E-9B67-76C68DDF08F4}" name="Tên Trường" dataDxfId="2"/>
    <tableColumn id="4" xr3:uid="{5342B36E-1A52-41E5-BA98-8201831BFA42}" name="Môn thi" dataDxfId="1"/>
    <tableColumn id="5" xr3:uid="{61C64063-CE5F-4B6A-AAF5-58D5A9DAA84D}" name="Điểm thi" dataDxfId="0"/>
    <tableColumn id="6" xr3:uid="{6CBCC8F2-5916-4F15-B84D-C681FC6F2909}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66A4-95CB-461F-A8E8-073F596EA87E}">
  <dimension ref="A1:M28"/>
  <sheetViews>
    <sheetView zoomScaleNormal="100" workbookViewId="0">
      <selection activeCell="I21" sqref="I21"/>
    </sheetView>
  </sheetViews>
  <sheetFormatPr defaultRowHeight="15" x14ac:dyDescent="0.25"/>
  <cols>
    <col min="1" max="1" width="14.85546875" customWidth="1"/>
    <col min="2" max="2" width="18.28515625" customWidth="1"/>
    <col min="3" max="3" width="24.42578125" bestFit="1" customWidth="1"/>
    <col min="4" max="4" width="25.140625" customWidth="1"/>
    <col min="5" max="5" width="25.42578125" customWidth="1"/>
    <col min="6" max="6" width="26" customWidth="1"/>
    <col min="7" max="7" width="0.2851562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3" ht="18.75" x14ac:dyDescent="0.3">
      <c r="A1" s="102" t="s">
        <v>0</v>
      </c>
      <c r="B1" s="102"/>
      <c r="C1" s="102"/>
      <c r="D1" s="102"/>
      <c r="E1" s="102"/>
      <c r="F1" s="102"/>
      <c r="G1" s="1"/>
      <c r="H1" s="2"/>
      <c r="I1" s="2"/>
      <c r="J1" s="1"/>
    </row>
    <row r="2" spans="1:13" ht="19.5" thickBot="1" x14ac:dyDescent="0.35">
      <c r="A2" s="2"/>
      <c r="B2" s="2"/>
      <c r="C2" s="2"/>
      <c r="D2" s="2"/>
      <c r="E2" s="2"/>
      <c r="F2" s="2"/>
      <c r="G2" s="1"/>
      <c r="J2" s="2"/>
    </row>
    <row r="3" spans="1:13" ht="19.5" thickBot="1" x14ac:dyDescent="0.35">
      <c r="A3" s="96" t="s">
        <v>1</v>
      </c>
      <c r="B3" s="96" t="s">
        <v>2</v>
      </c>
      <c r="C3" s="97" t="s">
        <v>3</v>
      </c>
      <c r="D3" s="97" t="s">
        <v>4</v>
      </c>
      <c r="E3" s="97" t="s">
        <v>5</v>
      </c>
      <c r="F3" s="98" t="s">
        <v>6</v>
      </c>
      <c r="G3" s="2"/>
      <c r="H3" s="103" t="s">
        <v>7</v>
      </c>
      <c r="I3" s="104"/>
      <c r="K3" s="103" t="s">
        <v>8</v>
      </c>
      <c r="L3" s="104"/>
    </row>
    <row r="4" spans="1:13" ht="18.75" x14ac:dyDescent="0.3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.75" x14ac:dyDescent="0.3">
      <c r="A5" s="12" t="s">
        <v>14</v>
      </c>
      <c r="B5" s="13" t="str">
        <f>PROPER("lê vinh")</f>
        <v>Lê Vinh</v>
      </c>
      <c r="C5" s="5" t="str">
        <f t="shared" ref="C5:C18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.75" x14ac:dyDescent="0.3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.75" x14ac:dyDescent="0.3">
      <c r="A7" s="12" t="s">
        <v>22</v>
      </c>
      <c r="B7" s="13" t="str">
        <f>PROPER("trần quân")</f>
        <v>Trần Quân</v>
      </c>
      <c r="C7" s="5" t="str">
        <f t="shared" si="2"/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9.5" thickBot="1" x14ac:dyDescent="0.35">
      <c r="A8" s="3" t="s">
        <v>26</v>
      </c>
      <c r="B8" s="13" t="str">
        <f>PROPER("lê hoàng")</f>
        <v>Lê Hoàng</v>
      </c>
      <c r="C8" s="5" t="str">
        <f t="shared" si="2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27</v>
      </c>
      <c r="I8" s="15" t="s">
        <v>28</v>
      </c>
      <c r="J8" s="2"/>
      <c r="K8" s="18">
        <v>9.5</v>
      </c>
      <c r="L8" s="19" t="s">
        <v>29</v>
      </c>
    </row>
    <row r="9" spans="1:13" ht="18.75" x14ac:dyDescent="0.3">
      <c r="A9" s="12" t="s">
        <v>30</v>
      </c>
      <c r="B9" s="13" t="str">
        <f>PROPER("trần quân")</f>
        <v>Trần Quân</v>
      </c>
      <c r="C9" s="5" t="str">
        <f t="shared" si="2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31</v>
      </c>
      <c r="I9" s="15" t="s">
        <v>32</v>
      </c>
      <c r="J9" s="2"/>
    </row>
    <row r="10" spans="1:13" ht="20.25" x14ac:dyDescent="0.3">
      <c r="A10" s="3" t="s">
        <v>33</v>
      </c>
      <c r="B10" s="4" t="str">
        <f>PROPER("lê quân")</f>
        <v>Lê Quân</v>
      </c>
      <c r="C10" s="5" t="str">
        <f t="shared" si="2"/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34</v>
      </c>
      <c r="I10" s="15" t="s">
        <v>35</v>
      </c>
      <c r="J10" s="30"/>
      <c r="K10" s="30"/>
      <c r="L10" s="2"/>
      <c r="M10" s="1"/>
    </row>
    <row r="11" spans="1:13" ht="19.5" thickBot="1" x14ac:dyDescent="0.35">
      <c r="A11" s="12" t="s">
        <v>36</v>
      </c>
      <c r="B11" s="13" t="str">
        <f>PROPER("lê viên")</f>
        <v>Lê Viên</v>
      </c>
      <c r="C11" s="5" t="str">
        <f t="shared" si="2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.75" x14ac:dyDescent="0.3">
      <c r="A12" s="3" t="s">
        <v>37</v>
      </c>
      <c r="B12" s="4" t="str">
        <f>PROPER("lê văn")</f>
        <v>Lê Văn</v>
      </c>
      <c r="C12" s="5" t="str">
        <f t="shared" si="2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05" t="s">
        <v>38</v>
      </c>
      <c r="I12" s="106"/>
      <c r="J12" s="106"/>
      <c r="K12" s="107"/>
    </row>
    <row r="13" spans="1:13" ht="18.75" x14ac:dyDescent="0.3">
      <c r="A13" s="12" t="s">
        <v>39</v>
      </c>
      <c r="B13" s="13" t="str">
        <f>PROPER("lê thuý")</f>
        <v>Lê Thuý</v>
      </c>
      <c r="C13" s="5" t="str">
        <f t="shared" si="2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40</v>
      </c>
      <c r="I13" s="21" t="s">
        <v>41</v>
      </c>
      <c r="J13" s="21" t="s">
        <v>42</v>
      </c>
      <c r="K13" s="22" t="s">
        <v>31</v>
      </c>
    </row>
    <row r="14" spans="1:13" ht="19.5" thickBot="1" x14ac:dyDescent="0.35">
      <c r="A14" s="3" t="s">
        <v>39</v>
      </c>
      <c r="B14" s="4" t="str">
        <f>PROPER("phạm quân")</f>
        <v>Phạm Quân</v>
      </c>
      <c r="C14" s="5" t="str">
        <f t="shared" si="2"/>
        <v>Năng Khiếu</v>
      </c>
      <c r="D14" s="5" t="str">
        <f t="shared" si="0"/>
        <v>Toán</v>
      </c>
      <c r="E14" s="4">
        <v>9.86</v>
      </c>
      <c r="F14" s="95" t="str">
        <f t="shared" si="1"/>
        <v>Xuất sắc</v>
      </c>
      <c r="G14" s="2"/>
      <c r="H14" s="23" t="s">
        <v>43</v>
      </c>
      <c r="I14" s="24" t="s">
        <v>44</v>
      </c>
      <c r="J14" s="24" t="s">
        <v>45</v>
      </c>
      <c r="K14" s="19" t="s">
        <v>46</v>
      </c>
    </row>
    <row r="15" spans="1:13" ht="18.75" x14ac:dyDescent="0.3">
      <c r="A15" s="12" t="s">
        <v>47</v>
      </c>
      <c r="B15" s="13" t="str">
        <f>PROPER("phạm vinh")</f>
        <v>Phạm Vinh</v>
      </c>
      <c r="C15" s="5" t="str">
        <f t="shared" si="2"/>
        <v>Năng Khiếu</v>
      </c>
      <c r="D15" s="5" t="str">
        <f t="shared" si="0"/>
        <v>Sinh ngữ</v>
      </c>
      <c r="E15" s="13">
        <v>9.66</v>
      </c>
      <c r="F15" s="95" t="str">
        <f t="shared" si="1"/>
        <v>Xuất sắc</v>
      </c>
      <c r="G15" s="2"/>
    </row>
    <row r="16" spans="1:13" ht="18.75" x14ac:dyDescent="0.3">
      <c r="A16" s="3" t="s">
        <v>48</v>
      </c>
      <c r="B16" s="4" t="str">
        <f>PROPER("trần my")</f>
        <v>Trần My</v>
      </c>
      <c r="C16" s="5" t="str">
        <f t="shared" si="2"/>
        <v>Gia Định</v>
      </c>
      <c r="D16" s="5" t="str">
        <f t="shared" si="0"/>
        <v>Sinh ngữ</v>
      </c>
      <c r="E16" s="4">
        <v>9.8699999999999992</v>
      </c>
      <c r="F16" s="95" t="str">
        <f t="shared" si="1"/>
        <v>Xuất sắc</v>
      </c>
      <c r="G16" s="2"/>
    </row>
    <row r="17" spans="1:12" ht="18.75" x14ac:dyDescent="0.3">
      <c r="A17" s="12" t="s">
        <v>49</v>
      </c>
      <c r="B17" s="13" t="str">
        <f>PROPER("lê hoàng")</f>
        <v>Lê Hoàng</v>
      </c>
      <c r="C17" s="5" t="str">
        <f t="shared" si="2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2" ht="18.75" x14ac:dyDescent="0.3">
      <c r="A18" s="25" t="s">
        <v>50</v>
      </c>
      <c r="B18" s="26" t="str">
        <f>PROPER("lê nguyễn")</f>
        <v>Lê Nguyễn</v>
      </c>
      <c r="C18" s="27" t="str">
        <f t="shared" si="2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2" ht="18.75" x14ac:dyDescent="0.3">
      <c r="A19" s="29" t="s">
        <v>51</v>
      </c>
      <c r="B19" s="2"/>
      <c r="C19" s="2"/>
      <c r="D19" s="2"/>
      <c r="E19" s="2"/>
      <c r="F19" s="2"/>
      <c r="G19" s="1"/>
    </row>
    <row r="20" spans="1:12" ht="26.25" customHeight="1" x14ac:dyDescent="0.3">
      <c r="A20" s="81" t="s">
        <v>52</v>
      </c>
      <c r="B20" s="81"/>
      <c r="C20" s="81"/>
      <c r="D20" s="81"/>
      <c r="E20" s="81"/>
      <c r="F20" s="79"/>
      <c r="G20" s="79"/>
      <c r="H20" s="79"/>
      <c r="I20" s="79"/>
    </row>
    <row r="21" spans="1:12" ht="25.5" customHeight="1" x14ac:dyDescent="0.3">
      <c r="A21" s="81" t="s">
        <v>53</v>
      </c>
      <c r="B21" s="81"/>
      <c r="C21" s="81"/>
      <c r="D21" s="81"/>
      <c r="E21" s="81"/>
      <c r="F21" s="79"/>
      <c r="G21" s="1"/>
    </row>
    <row r="22" spans="1:12" ht="20.25" x14ac:dyDescent="0.3">
      <c r="A22" s="81" t="s">
        <v>54</v>
      </c>
      <c r="B22" s="81"/>
      <c r="C22" s="81"/>
      <c r="D22" s="81"/>
      <c r="E22" s="81"/>
      <c r="F22" s="81"/>
      <c r="G22" s="1"/>
    </row>
    <row r="23" spans="1:12" ht="20.25" x14ac:dyDescent="0.3">
      <c r="A23" s="81" t="s">
        <v>55</v>
      </c>
      <c r="B23" s="81"/>
      <c r="C23" s="81"/>
      <c r="D23" s="81"/>
      <c r="E23" s="81"/>
      <c r="F23" s="81"/>
      <c r="G23" s="1"/>
    </row>
    <row r="24" spans="1:12" ht="17.25" customHeight="1" x14ac:dyDescent="0.3">
      <c r="A24" s="81" t="s">
        <v>56</v>
      </c>
      <c r="B24" s="81"/>
      <c r="C24" s="81"/>
      <c r="D24" s="81"/>
      <c r="E24" s="81"/>
      <c r="F24" s="79"/>
      <c r="G24" s="1"/>
    </row>
    <row r="25" spans="1:12" ht="19.5" customHeight="1" x14ac:dyDescent="0.3">
      <c r="A25" s="81" t="s">
        <v>57</v>
      </c>
      <c r="B25" s="81"/>
      <c r="C25" s="81"/>
      <c r="D25" s="81"/>
      <c r="E25" s="81"/>
      <c r="F25" s="79"/>
      <c r="G25" s="1"/>
    </row>
    <row r="26" spans="1:12" ht="20.25" x14ac:dyDescent="0.3">
      <c r="A26" s="81" t="s">
        <v>58</v>
      </c>
      <c r="B26" s="81"/>
      <c r="C26" s="81"/>
      <c r="D26" s="81"/>
      <c r="E26" s="81"/>
      <c r="F26" s="81"/>
      <c r="G26" s="1"/>
    </row>
    <row r="27" spans="1:12" ht="20.25" x14ac:dyDescent="0.3">
      <c r="A27" s="30"/>
      <c r="B27" s="30"/>
      <c r="C27" s="30"/>
      <c r="D27" s="80"/>
      <c r="E27" s="30"/>
      <c r="F27" s="2"/>
      <c r="G27" s="1"/>
      <c r="L27" s="2"/>
    </row>
    <row r="28" spans="1:12" ht="20.25" x14ac:dyDescent="0.3">
      <c r="A28" s="30"/>
      <c r="B28" s="30"/>
      <c r="C28" s="30"/>
      <c r="D28" s="30"/>
      <c r="E28" s="30"/>
      <c r="F28" s="2"/>
      <c r="G28" s="1"/>
      <c r="L28" s="2"/>
    </row>
  </sheetData>
  <mergeCells count="4">
    <mergeCell ref="A1:F1"/>
    <mergeCell ref="H3:I3"/>
    <mergeCell ref="K3:L3"/>
    <mergeCell ref="H12:K1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&amp;LBàiTap1_Chương5&amp;CPage &amp;P&amp;R4/11/2021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abSelected="1" topLeftCell="A2" zoomScale="85" zoomScaleNormal="85" workbookViewId="0">
      <selection activeCell="L16" sqref="L16:O22"/>
    </sheetView>
  </sheetViews>
  <sheetFormatPr defaultRowHeight="12.75" x14ac:dyDescent="0.2"/>
  <cols>
    <col min="1" max="1" width="13" style="63" customWidth="1"/>
    <col min="2" max="3" width="14.5703125" style="63" customWidth="1"/>
    <col min="4" max="4" width="19.42578125" style="63" customWidth="1"/>
    <col min="5" max="5" width="14.5703125" style="63" customWidth="1"/>
    <col min="6" max="6" width="17.85546875" style="63" customWidth="1"/>
    <col min="7" max="7" width="16.140625" style="63" customWidth="1"/>
    <col min="8" max="8" width="11" style="63" customWidth="1"/>
    <col min="9" max="9" width="20.42578125" style="63" customWidth="1"/>
    <col min="10" max="10" width="18.140625" style="63" customWidth="1"/>
    <col min="11" max="11" width="17.42578125" style="63" customWidth="1"/>
    <col min="12" max="12" width="16.140625" style="63" customWidth="1"/>
    <col min="13" max="13" width="16.7109375" style="63" customWidth="1"/>
    <col min="14" max="14" width="16.85546875" style="63" customWidth="1"/>
    <col min="15" max="15" width="20.5703125" style="63" customWidth="1"/>
    <col min="16" max="16" width="17.42578125" style="63" customWidth="1"/>
    <col min="17" max="17" width="4.140625" style="63" customWidth="1"/>
    <col min="18" max="18" width="20.7109375" style="63" bestFit="1" customWidth="1"/>
    <col min="19" max="19" width="15.85546875" style="63" customWidth="1"/>
    <col min="20" max="20" width="16.140625" style="63" customWidth="1"/>
    <col min="21" max="21" width="13.85546875" style="63" customWidth="1"/>
    <col min="22" max="16384" width="9.140625" style="63"/>
  </cols>
  <sheetData>
    <row r="1" spans="1:15" s="31" customFormat="1" ht="21" thickBot="1" x14ac:dyDescent="0.35">
      <c r="A1" s="108" t="s">
        <v>59</v>
      </c>
      <c r="B1" s="108"/>
      <c r="C1" s="108"/>
      <c r="D1" s="108"/>
      <c r="E1" s="108"/>
      <c r="F1" s="108"/>
      <c r="G1" s="108"/>
      <c r="I1" s="31" t="s">
        <v>60</v>
      </c>
      <c r="K1" s="32" t="s">
        <v>61</v>
      </c>
      <c r="L1" s="33">
        <v>21070</v>
      </c>
    </row>
    <row r="2" spans="1:15" s="38" customFormat="1" ht="33" x14ac:dyDescent="0.25">
      <c r="A2" s="34" t="s">
        <v>62</v>
      </c>
      <c r="B2" s="34" t="s">
        <v>63</v>
      </c>
      <c r="C2" s="34" t="s">
        <v>64</v>
      </c>
      <c r="D2" s="34" t="s">
        <v>65</v>
      </c>
      <c r="E2" s="34" t="s">
        <v>66</v>
      </c>
      <c r="F2" s="34" t="s">
        <v>67</v>
      </c>
      <c r="G2" s="34" t="s">
        <v>68</v>
      </c>
      <c r="H2" s="31"/>
      <c r="I2" s="34" t="s">
        <v>69</v>
      </c>
      <c r="J2" s="35" t="s">
        <v>70</v>
      </c>
      <c r="K2" s="35" t="s">
        <v>71</v>
      </c>
      <c r="L2" s="36" t="s">
        <v>72</v>
      </c>
      <c r="M2" s="35" t="s">
        <v>73</v>
      </c>
      <c r="N2" s="37" t="s">
        <v>74</v>
      </c>
    </row>
    <row r="3" spans="1:15" s="31" customFormat="1" ht="16.5" x14ac:dyDescent="0.25">
      <c r="A3" s="39" t="s">
        <v>75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>VLOOKUP(VALUE(RIGHT(A3,2)),$I$3:$N$6,2,0)</f>
        <v>Thúy Hằng</v>
      </c>
      <c r="E3" s="40">
        <v>13</v>
      </c>
      <c r="F3" s="100">
        <f>INT(VLOOKUP(LEFT(A3,2),$I$10:$K$14,3,0)*$L$1)</f>
        <v>20332550</v>
      </c>
      <c r="G3" s="41">
        <f>F3*E3</f>
        <v>264323150</v>
      </c>
      <c r="I3" s="82">
        <v>11</v>
      </c>
      <c r="J3" s="43" t="s">
        <v>76</v>
      </c>
      <c r="K3" s="44">
        <f>SUMIFS($G$3:$G$20,$D$3:$D$20,J3)</f>
        <v>727231050</v>
      </c>
      <c r="L3" s="44">
        <f>INT(600000+K3*3%)</f>
        <v>22416931</v>
      </c>
      <c r="M3" s="84">
        <f>IF(L3&gt;4000000,INT(L3*10%),L3)</f>
        <v>2241693</v>
      </c>
      <c r="N3" s="45">
        <f>L3-M3</f>
        <v>20175238</v>
      </c>
    </row>
    <row r="4" spans="1:15" s="31" customFormat="1" ht="16.5" x14ac:dyDescent="0.25">
      <c r="A4" s="39" t="s">
        <v>77</v>
      </c>
      <c r="B4" s="40" t="str">
        <f t="shared" ref="B4:B20" si="0">VLOOKUP(LEFT(A4,2),$I$10:$K$14,2,0)</f>
        <v>Laptop</v>
      </c>
      <c r="C4" s="40" t="str">
        <f t="shared" ref="C4:C20" si="1">HLOOKUP(MID(A4,3,2),$M$9:$O$10,2,0)</f>
        <v>Toshiba</v>
      </c>
      <c r="D4" s="40" t="str">
        <f t="shared" ref="D4" si="2">VLOOKUP(VALUE(RIGHT(A4,2)),$I$3:$N$6,2,0)</f>
        <v>Thanh Long</v>
      </c>
      <c r="E4" s="40">
        <v>25</v>
      </c>
      <c r="F4" s="100">
        <f t="shared" ref="F4:F20" si="3">INT(VLOOKUP(LEFT(A4,2),$I$10:$K$14,3,0)*$L$1)</f>
        <v>20332550</v>
      </c>
      <c r="G4" s="41">
        <f t="shared" ref="G4:G20" si="4">F4*E4</f>
        <v>508313750</v>
      </c>
      <c r="I4" s="82">
        <v>22</v>
      </c>
      <c r="J4" s="43" t="s">
        <v>78</v>
      </c>
      <c r="K4" s="44">
        <f>SUMIFS($G$3:$G$20,$D$3:$D$20,J4)</f>
        <v>1465608130</v>
      </c>
      <c r="L4" s="44">
        <f t="shared" ref="L4:L6" si="5">INT(600000+K4*3%)</f>
        <v>44568243</v>
      </c>
      <c r="M4" s="84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 x14ac:dyDescent="0.25">
      <c r="A5" s="39" t="s">
        <v>79</v>
      </c>
      <c r="B5" s="40" t="str">
        <f t="shared" si="0"/>
        <v>Laptop</v>
      </c>
      <c r="C5" s="40" t="str">
        <f t="shared" si="1"/>
        <v>Sony</v>
      </c>
      <c r="D5" s="40" t="str">
        <f t="shared" ref="D5:D20" si="8">VLOOKUP(VALUE(RIGHT(A5,2)),$I$3:$N$6,2,0)</f>
        <v>Lan Anh</v>
      </c>
      <c r="E5" s="40">
        <v>31</v>
      </c>
      <c r="F5" s="100">
        <f t="shared" si="3"/>
        <v>20332550</v>
      </c>
      <c r="G5" s="41">
        <f t="shared" si="4"/>
        <v>630309050</v>
      </c>
      <c r="I5" s="82">
        <v>33</v>
      </c>
      <c r="J5" s="43" t="s">
        <v>80</v>
      </c>
      <c r="K5" s="44">
        <f t="shared" ref="K5:K6" si="9">SUMIFS($G$3:$G$20,$D$3:$D$20,J5)</f>
        <v>1070124230</v>
      </c>
      <c r="L5" s="44">
        <f t="shared" si="5"/>
        <v>32703726</v>
      </c>
      <c r="M5" s="84">
        <f t="shared" si="6"/>
        <v>3270372</v>
      </c>
      <c r="N5" s="45">
        <f t="shared" si="7"/>
        <v>29433354</v>
      </c>
    </row>
    <row r="6" spans="1:15" s="31" customFormat="1" ht="17.25" thickBot="1" x14ac:dyDescent="0.3">
      <c r="A6" s="39" t="s">
        <v>81</v>
      </c>
      <c r="B6" s="40" t="str">
        <f t="shared" si="0"/>
        <v>Laptop</v>
      </c>
      <c r="C6" s="40" t="str">
        <f t="shared" si="1"/>
        <v>Sony</v>
      </c>
      <c r="D6" s="40" t="str">
        <f t="shared" si="8"/>
        <v>Hải Quân</v>
      </c>
      <c r="E6" s="40">
        <v>33</v>
      </c>
      <c r="F6" s="100">
        <f t="shared" si="3"/>
        <v>20332550</v>
      </c>
      <c r="G6" s="41">
        <f t="shared" si="4"/>
        <v>670974150</v>
      </c>
      <c r="I6" s="83">
        <v>44</v>
      </c>
      <c r="J6" s="47" t="s">
        <v>82</v>
      </c>
      <c r="K6" s="44">
        <f t="shared" si="9"/>
        <v>730096570</v>
      </c>
      <c r="L6" s="44">
        <f t="shared" si="5"/>
        <v>22502897</v>
      </c>
      <c r="M6" s="84">
        <f t="shared" si="6"/>
        <v>2250289</v>
      </c>
      <c r="N6" s="45">
        <f t="shared" si="7"/>
        <v>20252608</v>
      </c>
    </row>
    <row r="7" spans="1:15" s="31" customFormat="1" ht="17.25" thickBot="1" x14ac:dyDescent="0.3">
      <c r="A7" s="39" t="s">
        <v>79</v>
      </c>
      <c r="B7" s="40" t="str">
        <f t="shared" si="0"/>
        <v>Laptop</v>
      </c>
      <c r="C7" s="40" t="str">
        <f t="shared" si="1"/>
        <v>Sony</v>
      </c>
      <c r="D7" s="40" t="str">
        <f t="shared" si="8"/>
        <v>Lan Anh</v>
      </c>
      <c r="E7" s="40">
        <v>19</v>
      </c>
      <c r="F7" s="100">
        <f t="shared" si="3"/>
        <v>20332550</v>
      </c>
      <c r="G7" s="41">
        <f t="shared" si="4"/>
        <v>386318450</v>
      </c>
    </row>
    <row r="8" spans="1:15" s="31" customFormat="1" ht="16.5" x14ac:dyDescent="0.25">
      <c r="A8" s="39" t="s">
        <v>83</v>
      </c>
      <c r="B8" s="40" t="str">
        <f t="shared" si="0"/>
        <v>Máy ảnh</v>
      </c>
      <c r="C8" s="40" t="str">
        <f t="shared" si="1"/>
        <v>Toshiba</v>
      </c>
      <c r="D8" s="40" t="str">
        <f t="shared" si="8"/>
        <v>Lan Anh</v>
      </c>
      <c r="E8" s="40">
        <v>14</v>
      </c>
      <c r="F8" s="100">
        <f t="shared" si="3"/>
        <v>6763470</v>
      </c>
      <c r="G8" s="41">
        <f t="shared" si="4"/>
        <v>94688580</v>
      </c>
      <c r="I8" s="109" t="s">
        <v>84</v>
      </c>
      <c r="J8" s="110"/>
      <c r="K8" s="111"/>
      <c r="M8" s="112" t="s">
        <v>85</v>
      </c>
      <c r="N8" s="113"/>
      <c r="O8" s="114"/>
    </row>
    <row r="9" spans="1:15" s="31" customFormat="1" ht="16.5" x14ac:dyDescent="0.25">
      <c r="A9" s="39" t="s">
        <v>86</v>
      </c>
      <c r="B9" s="40" t="str">
        <f t="shared" si="0"/>
        <v>Máy ảnh</v>
      </c>
      <c r="C9" s="40" t="str">
        <f t="shared" si="1"/>
        <v>Panasonic</v>
      </c>
      <c r="D9" s="40" t="str">
        <f t="shared" si="8"/>
        <v>Thanh Long</v>
      </c>
      <c r="E9" s="40">
        <v>31</v>
      </c>
      <c r="F9" s="100">
        <f t="shared" si="3"/>
        <v>6763470</v>
      </c>
      <c r="G9" s="41">
        <f t="shared" si="4"/>
        <v>209667570</v>
      </c>
      <c r="I9" s="48" t="s">
        <v>87</v>
      </c>
      <c r="J9" s="49" t="s">
        <v>88</v>
      </c>
      <c r="K9" s="50" t="s">
        <v>89</v>
      </c>
      <c r="M9" s="48" t="s">
        <v>90</v>
      </c>
      <c r="N9" s="49" t="s">
        <v>91</v>
      </c>
      <c r="O9" s="50" t="s">
        <v>92</v>
      </c>
    </row>
    <row r="10" spans="1:15" s="31" customFormat="1" ht="17.25" thickBot="1" x14ac:dyDescent="0.3">
      <c r="A10" s="39" t="s">
        <v>93</v>
      </c>
      <c r="B10" s="40" t="str">
        <f t="shared" si="0"/>
        <v>Máy ảnh</v>
      </c>
      <c r="C10" s="40" t="str">
        <f t="shared" si="1"/>
        <v>Sony</v>
      </c>
      <c r="D10" s="40" t="str">
        <f t="shared" si="8"/>
        <v>Hải Quân</v>
      </c>
      <c r="E10" s="40">
        <v>24</v>
      </c>
      <c r="F10" s="100">
        <f t="shared" si="3"/>
        <v>6763470</v>
      </c>
      <c r="G10" s="41">
        <f t="shared" si="4"/>
        <v>162323280</v>
      </c>
      <c r="I10" s="42" t="s">
        <v>94</v>
      </c>
      <c r="J10" s="40" t="s">
        <v>95</v>
      </c>
      <c r="K10" s="51">
        <v>115</v>
      </c>
      <c r="M10" s="52" t="s">
        <v>96</v>
      </c>
      <c r="N10" s="53" t="s">
        <v>97</v>
      </c>
      <c r="O10" s="54" t="s">
        <v>98</v>
      </c>
    </row>
    <row r="11" spans="1:15" s="31" customFormat="1" ht="16.5" x14ac:dyDescent="0.25">
      <c r="A11" s="39" t="s">
        <v>99</v>
      </c>
      <c r="B11" s="40" t="str">
        <f t="shared" si="0"/>
        <v>Máy giặt</v>
      </c>
      <c r="C11" s="40" t="str">
        <f t="shared" si="1"/>
        <v>Toshiba</v>
      </c>
      <c r="D11" s="40" t="str">
        <f t="shared" si="8"/>
        <v>Thúy Hằng</v>
      </c>
      <c r="E11" s="40">
        <v>11</v>
      </c>
      <c r="F11" s="100">
        <f t="shared" si="3"/>
        <v>10745700</v>
      </c>
      <c r="G11" s="41">
        <f t="shared" si="4"/>
        <v>118202700</v>
      </c>
      <c r="I11" s="42" t="s">
        <v>100</v>
      </c>
      <c r="J11" s="40" t="s">
        <v>101</v>
      </c>
      <c r="K11" s="51">
        <v>321</v>
      </c>
    </row>
    <row r="12" spans="1:15" s="31" customFormat="1" ht="16.5" x14ac:dyDescent="0.25">
      <c r="A12" s="39" t="s">
        <v>102</v>
      </c>
      <c r="B12" s="40" t="str">
        <f t="shared" si="0"/>
        <v>Máy giặt</v>
      </c>
      <c r="C12" s="40" t="str">
        <f t="shared" si="1"/>
        <v>Panasonic</v>
      </c>
      <c r="D12" s="40" t="str">
        <f t="shared" si="8"/>
        <v>Lan Anh</v>
      </c>
      <c r="E12" s="40">
        <v>21</v>
      </c>
      <c r="F12" s="100">
        <f t="shared" si="3"/>
        <v>10745700</v>
      </c>
      <c r="G12" s="41">
        <f t="shared" si="4"/>
        <v>225659700</v>
      </c>
      <c r="I12" s="42" t="s">
        <v>103</v>
      </c>
      <c r="J12" s="40" t="s">
        <v>104</v>
      </c>
      <c r="K12" s="51">
        <v>185</v>
      </c>
    </row>
    <row r="13" spans="1:15" s="31" customFormat="1" ht="16.5" x14ac:dyDescent="0.25">
      <c r="A13" s="39" t="s">
        <v>99</v>
      </c>
      <c r="B13" s="40" t="str">
        <f t="shared" si="0"/>
        <v>Máy giặt</v>
      </c>
      <c r="C13" s="40" t="str">
        <f t="shared" si="1"/>
        <v>Toshiba</v>
      </c>
      <c r="D13" s="40" t="str">
        <f t="shared" si="8"/>
        <v>Thúy Hằng</v>
      </c>
      <c r="E13" s="40">
        <v>19</v>
      </c>
      <c r="F13" s="100">
        <f t="shared" si="3"/>
        <v>10745700</v>
      </c>
      <c r="G13" s="41">
        <f t="shared" si="4"/>
        <v>204168300</v>
      </c>
      <c r="I13" s="42" t="s">
        <v>105</v>
      </c>
      <c r="J13" s="40" t="s">
        <v>106</v>
      </c>
      <c r="K13" s="51">
        <v>965</v>
      </c>
    </row>
    <row r="14" spans="1:15" s="31" customFormat="1" ht="17.25" thickBot="1" x14ac:dyDescent="0.3">
      <c r="A14" s="39" t="s">
        <v>107</v>
      </c>
      <c r="B14" s="40" t="str">
        <f t="shared" si="0"/>
        <v>Máy lạnh</v>
      </c>
      <c r="C14" s="40" t="str">
        <f t="shared" si="1"/>
        <v>Toshiba</v>
      </c>
      <c r="D14" s="40" t="str">
        <f t="shared" si="8"/>
        <v>Hải Quân</v>
      </c>
      <c r="E14" s="40">
        <v>39</v>
      </c>
      <c r="F14" s="100">
        <f t="shared" si="3"/>
        <v>3897950</v>
      </c>
      <c r="G14" s="41">
        <f t="shared" si="4"/>
        <v>152020050</v>
      </c>
      <c r="I14" s="46" t="s">
        <v>108</v>
      </c>
      <c r="J14" s="55" t="s">
        <v>109</v>
      </c>
      <c r="K14" s="56">
        <v>510</v>
      </c>
    </row>
    <row r="15" spans="1:15" s="31" customFormat="1" ht="17.25" thickBot="1" x14ac:dyDescent="0.3">
      <c r="A15" s="39" t="s">
        <v>110</v>
      </c>
      <c r="B15" s="40" t="str">
        <f t="shared" si="0"/>
        <v>Máy lạnh</v>
      </c>
      <c r="C15" s="40" t="str">
        <f t="shared" si="1"/>
        <v>Panasonic</v>
      </c>
      <c r="D15" s="40" t="str">
        <f t="shared" si="8"/>
        <v>Lan Anh</v>
      </c>
      <c r="E15" s="40">
        <v>33</v>
      </c>
      <c r="F15" s="100">
        <f t="shared" si="3"/>
        <v>3897950</v>
      </c>
      <c r="G15" s="41">
        <f t="shared" si="4"/>
        <v>128632350</v>
      </c>
    </row>
    <row r="16" spans="1:15" s="31" customFormat="1" ht="17.25" thickBot="1" x14ac:dyDescent="0.3">
      <c r="A16" s="39" t="s">
        <v>111</v>
      </c>
      <c r="B16" s="40" t="str">
        <f t="shared" si="0"/>
        <v>Tivi</v>
      </c>
      <c r="C16" s="40" t="str">
        <f t="shared" si="1"/>
        <v>Sony</v>
      </c>
      <c r="D16" s="40" t="str">
        <f t="shared" si="8"/>
        <v>Thúy Hằng</v>
      </c>
      <c r="E16" s="40">
        <v>37</v>
      </c>
      <c r="F16" s="100">
        <f t="shared" si="3"/>
        <v>2423050</v>
      </c>
      <c r="G16" s="41">
        <f t="shared" si="4"/>
        <v>89652850</v>
      </c>
      <c r="I16" s="57" t="s">
        <v>112</v>
      </c>
      <c r="J16" s="58" t="s">
        <v>113</v>
      </c>
      <c r="L16" s="119" t="s">
        <v>114</v>
      </c>
      <c r="M16" s="120"/>
      <c r="N16" s="121" t="s">
        <v>115</v>
      </c>
      <c r="O16" s="122"/>
    </row>
    <row r="17" spans="1:15" s="31" customFormat="1" ht="16.5" x14ac:dyDescent="0.25">
      <c r="A17" s="39" t="s">
        <v>111</v>
      </c>
      <c r="B17" s="40" t="str">
        <f t="shared" si="0"/>
        <v>Tivi</v>
      </c>
      <c r="C17" s="40" t="str">
        <f t="shared" si="1"/>
        <v>Sony</v>
      </c>
      <c r="D17" s="40" t="str">
        <f t="shared" si="8"/>
        <v>Thúy Hằng</v>
      </c>
      <c r="E17" s="40">
        <v>21</v>
      </c>
      <c r="F17" s="100">
        <f t="shared" si="3"/>
        <v>2423050</v>
      </c>
      <c r="G17" s="41">
        <f t="shared" si="4"/>
        <v>50884050</v>
      </c>
      <c r="I17" s="48" t="s">
        <v>88</v>
      </c>
      <c r="J17" s="50" t="s">
        <v>116</v>
      </c>
      <c r="L17" s="123"/>
      <c r="M17" s="124" t="s">
        <v>96</v>
      </c>
      <c r="N17" s="124" t="s">
        <v>97</v>
      </c>
      <c r="O17" s="125" t="s">
        <v>98</v>
      </c>
    </row>
    <row r="18" spans="1:15" s="31" customFormat="1" ht="16.5" x14ac:dyDescent="0.25">
      <c r="A18" s="39" t="s">
        <v>117</v>
      </c>
      <c r="B18" s="40" t="str">
        <f t="shared" si="0"/>
        <v>Tivi</v>
      </c>
      <c r="C18" s="40" t="str">
        <f t="shared" si="1"/>
        <v>Panasonic</v>
      </c>
      <c r="D18" s="40" t="str">
        <f t="shared" si="8"/>
        <v>Thanh Long</v>
      </c>
      <c r="E18" s="40">
        <v>5</v>
      </c>
      <c r="F18" s="100">
        <f t="shared" si="3"/>
        <v>2423050</v>
      </c>
      <c r="G18" s="41">
        <f t="shared" si="4"/>
        <v>12115250</v>
      </c>
      <c r="I18" s="42" t="s">
        <v>95</v>
      </c>
      <c r="J18" s="86">
        <f ca="1">SUMIF($B$3:$G$20,I18,$G$3:$G$20)</f>
        <v>237458900</v>
      </c>
      <c r="L18" s="126" t="s">
        <v>95</v>
      </c>
      <c r="M18" s="118">
        <v>79</v>
      </c>
      <c r="N18" s="118">
        <v>14</v>
      </c>
      <c r="O18" s="118">
        <v>5</v>
      </c>
    </row>
    <row r="19" spans="1:15" s="31" customFormat="1" ht="16.5" x14ac:dyDescent="0.25">
      <c r="A19" s="39" t="s">
        <v>118</v>
      </c>
      <c r="B19" s="40" t="str">
        <f t="shared" si="0"/>
        <v>Tivi</v>
      </c>
      <c r="C19" s="40" t="str">
        <f t="shared" si="1"/>
        <v>Toshiba</v>
      </c>
      <c r="D19" s="40" t="str">
        <f t="shared" si="8"/>
        <v>Hải Quân</v>
      </c>
      <c r="E19" s="40">
        <v>14</v>
      </c>
      <c r="F19" s="100">
        <f t="shared" si="3"/>
        <v>2423050</v>
      </c>
      <c r="G19" s="41">
        <f t="shared" si="4"/>
        <v>33922700</v>
      </c>
      <c r="I19" s="42" t="s">
        <v>101</v>
      </c>
      <c r="J19" s="86">
        <f t="shared" ref="J19:J22" ca="1" si="10">SUMIF($B$3:$G$20,I19,$G$3:$G$20)</f>
        <v>466679430</v>
      </c>
      <c r="L19" s="126" t="s">
        <v>101</v>
      </c>
      <c r="M19" s="118">
        <v>24</v>
      </c>
      <c r="N19" s="118">
        <v>14</v>
      </c>
      <c r="O19" s="118">
        <v>31</v>
      </c>
    </row>
    <row r="20" spans="1:15" s="31" customFormat="1" ht="16.5" x14ac:dyDescent="0.25">
      <c r="A20" s="39" t="s">
        <v>119</v>
      </c>
      <c r="B20" s="40" t="str">
        <f t="shared" si="0"/>
        <v>Tivi</v>
      </c>
      <c r="C20" s="40" t="str">
        <f t="shared" si="1"/>
        <v>Sony</v>
      </c>
      <c r="D20" s="40" t="str">
        <f t="shared" si="8"/>
        <v>Hải Quân</v>
      </c>
      <c r="E20" s="40">
        <v>21</v>
      </c>
      <c r="F20" s="100">
        <f t="shared" si="3"/>
        <v>2423050</v>
      </c>
      <c r="G20" s="41">
        <f t="shared" si="4"/>
        <v>50884050</v>
      </c>
      <c r="I20" s="42" t="s">
        <v>104</v>
      </c>
      <c r="J20" s="86">
        <f t="shared" ca="1" si="10"/>
        <v>280652400</v>
      </c>
      <c r="L20" s="126" t="s">
        <v>104</v>
      </c>
      <c r="M20" s="118">
        <v>0</v>
      </c>
      <c r="N20" s="118">
        <v>39</v>
      </c>
      <c r="O20" s="118">
        <v>33</v>
      </c>
    </row>
    <row r="21" spans="1:15" s="31" customFormat="1" ht="16.5" x14ac:dyDescent="0.25">
      <c r="D21" s="85"/>
      <c r="I21" s="42" t="s">
        <v>106</v>
      </c>
      <c r="J21" s="86">
        <f t="shared" ca="1" si="10"/>
        <v>2460238550</v>
      </c>
      <c r="L21" s="126" t="s">
        <v>106</v>
      </c>
      <c r="M21" s="118">
        <v>96</v>
      </c>
      <c r="N21" s="118">
        <v>25</v>
      </c>
      <c r="O21" s="118">
        <v>0</v>
      </c>
    </row>
    <row r="22" spans="1:15" s="31" customFormat="1" ht="17.25" thickBot="1" x14ac:dyDescent="0.3">
      <c r="A22" s="59" t="s">
        <v>120</v>
      </c>
      <c r="I22" s="46" t="s">
        <v>109</v>
      </c>
      <c r="J22" s="86">
        <f t="shared" ca="1" si="10"/>
        <v>548030700</v>
      </c>
      <c r="L22" s="127" t="s">
        <v>109</v>
      </c>
      <c r="M22" s="118">
        <v>0</v>
      </c>
      <c r="N22" s="118">
        <v>30</v>
      </c>
      <c r="O22" s="118">
        <v>21</v>
      </c>
    </row>
    <row r="23" spans="1:15" s="60" customFormat="1" ht="18.75" x14ac:dyDescent="0.3">
      <c r="A23" s="60" t="s">
        <v>121</v>
      </c>
    </row>
    <row r="24" spans="1:15" s="60" customFormat="1" ht="18.75" x14ac:dyDescent="0.3">
      <c r="A24" s="60" t="s">
        <v>122</v>
      </c>
    </row>
    <row r="25" spans="1:15" s="60" customFormat="1" ht="18.75" x14ac:dyDescent="0.3">
      <c r="A25" s="60" t="s">
        <v>123</v>
      </c>
    </row>
    <row r="26" spans="1:15" s="60" customFormat="1" ht="18.75" x14ac:dyDescent="0.3">
      <c r="A26" s="60" t="s">
        <v>124</v>
      </c>
      <c r="K26" s="31"/>
      <c r="M26" s="87"/>
    </row>
    <row r="27" spans="1:15" s="60" customFormat="1" ht="18.75" x14ac:dyDescent="0.3">
      <c r="A27" s="60" t="s">
        <v>125</v>
      </c>
      <c r="J27" s="61"/>
      <c r="K27" s="31"/>
    </row>
    <row r="28" spans="1:15" s="60" customFormat="1" ht="18.75" x14ac:dyDescent="0.3">
      <c r="A28" s="60" t="s">
        <v>126</v>
      </c>
      <c r="F28" s="62"/>
      <c r="I28" s="63"/>
      <c r="J28" s="63"/>
      <c r="K28" s="31"/>
    </row>
    <row r="29" spans="1:15" s="60" customFormat="1" ht="18.75" x14ac:dyDescent="0.3">
      <c r="A29" s="60" t="s">
        <v>127</v>
      </c>
      <c r="I29" s="63"/>
      <c r="J29" s="63"/>
      <c r="K29" s="31"/>
    </row>
    <row r="30" spans="1:15" s="60" customFormat="1" ht="18.75" x14ac:dyDescent="0.3">
      <c r="A30" s="60" t="s">
        <v>128</v>
      </c>
      <c r="I30" s="63"/>
      <c r="J30" s="63"/>
      <c r="K30" s="31"/>
    </row>
    <row r="31" spans="1:15" s="60" customFormat="1" ht="18.75" x14ac:dyDescent="0.3">
      <c r="A31" s="60" t="s">
        <v>129</v>
      </c>
      <c r="I31" s="63"/>
      <c r="J31" s="63"/>
    </row>
    <row r="32" spans="1:15" s="60" customFormat="1" ht="18.75" x14ac:dyDescent="0.3">
      <c r="A32" s="60" t="s">
        <v>130</v>
      </c>
      <c r="I32" s="63"/>
      <c r="J32" s="63"/>
    </row>
    <row r="33" spans="1:10" s="60" customFormat="1" ht="18.75" x14ac:dyDescent="0.3">
      <c r="A33" s="60" t="s">
        <v>131</v>
      </c>
      <c r="I33" s="63"/>
      <c r="J33" s="63"/>
    </row>
    <row r="40" spans="1:10" x14ac:dyDescent="0.2">
      <c r="D40" s="64"/>
    </row>
    <row r="41" spans="1:10" x14ac:dyDescent="0.2">
      <c r="D41" s="64"/>
    </row>
    <row r="42" spans="1:10" x14ac:dyDescent="0.2">
      <c r="D42" s="64"/>
    </row>
    <row r="43" spans="1:10" x14ac:dyDescent="0.2">
      <c r="D43" s="64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="85" zoomScaleNormal="85" workbookViewId="0">
      <pane ySplit="1" topLeftCell="A2" activePane="bottomLeft" state="frozen"/>
      <selection pane="bottomLeft" activeCell="K18" sqref="K18"/>
    </sheetView>
  </sheetViews>
  <sheetFormatPr defaultRowHeight="15" x14ac:dyDescent="0.25"/>
  <cols>
    <col min="2" max="2" width="30.42578125" bestFit="1" customWidth="1"/>
    <col min="3" max="3" width="18.42578125" customWidth="1"/>
    <col min="4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 x14ac:dyDescent="0.35">
      <c r="A1" s="115" t="s">
        <v>132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ht="39" x14ac:dyDescent="0.25">
      <c r="A2" s="65" t="s">
        <v>133</v>
      </c>
      <c r="B2" s="65" t="s">
        <v>134</v>
      </c>
      <c r="C2" s="65" t="s">
        <v>135</v>
      </c>
      <c r="D2" s="65" t="s">
        <v>136</v>
      </c>
      <c r="E2" s="65" t="s">
        <v>137</v>
      </c>
      <c r="F2" s="65" t="s">
        <v>138</v>
      </c>
      <c r="G2" s="65" t="s">
        <v>139</v>
      </c>
      <c r="H2" s="65" t="s">
        <v>140</v>
      </c>
      <c r="I2" s="65" t="s">
        <v>17</v>
      </c>
      <c r="J2" s="65" t="s">
        <v>141</v>
      </c>
    </row>
    <row r="3" spans="1:10" ht="19.5" x14ac:dyDescent="0.3">
      <c r="A3" s="66">
        <v>1</v>
      </c>
      <c r="B3" s="66" t="str">
        <f>PROPER("nguyễn văn tâm")</f>
        <v>Nguyễn Văn Tâm</v>
      </c>
      <c r="C3" s="67">
        <v>32781</v>
      </c>
      <c r="D3" s="88">
        <f ca="1">YEAR(NOW())-YEAR(C3)</f>
        <v>32</v>
      </c>
      <c r="E3" s="66">
        <v>4</v>
      </c>
      <c r="F3" s="66">
        <v>5</v>
      </c>
      <c r="G3" s="66">
        <v>3</v>
      </c>
      <c r="H3" s="66">
        <f>SUM(E3:G3)</f>
        <v>12</v>
      </c>
      <c r="I3" s="66">
        <f>((E3*2)+(F3*2)+G3)/5</f>
        <v>4.2</v>
      </c>
      <c r="J3" s="91" t="str">
        <f>IF(I3&gt;=5,"ĐẬU","RỚT")</f>
        <v>RỚT</v>
      </c>
    </row>
    <row r="4" spans="1:10" ht="19.5" x14ac:dyDescent="0.3">
      <c r="A4" s="66">
        <v>2</v>
      </c>
      <c r="B4" s="66" t="str">
        <f>PROPER("nguyễn thị hằng")</f>
        <v>Nguyễn Thị Hằng</v>
      </c>
      <c r="C4" s="67">
        <v>32803</v>
      </c>
      <c r="D4" s="88">
        <f t="shared" ref="D4:D17" ca="1" si="0">YEAR(NOW())-YEAR(C4)</f>
        <v>32</v>
      </c>
      <c r="E4" s="66">
        <v>5</v>
      </c>
      <c r="F4" s="66">
        <v>2</v>
      </c>
      <c r="G4" s="66">
        <v>8</v>
      </c>
      <c r="H4" s="66">
        <f t="shared" ref="H4:H17" si="1">SUM(E4:G4)</f>
        <v>15</v>
      </c>
      <c r="I4" s="66">
        <f t="shared" ref="I4:I17" si="2">((E4*2)+(F4*2)+G4)/5</f>
        <v>4.4000000000000004</v>
      </c>
      <c r="J4" s="91" t="str">
        <f t="shared" ref="J4:J17" si="3">IF(I4&gt;=5,"ĐẬU","RỚT")</f>
        <v>RỚT</v>
      </c>
    </row>
    <row r="5" spans="1:10" ht="19.5" x14ac:dyDescent="0.3">
      <c r="A5" s="66">
        <v>3</v>
      </c>
      <c r="B5" s="66" t="str">
        <f>PROPER("ngô thị nga")</f>
        <v>Ngô Thị Nga</v>
      </c>
      <c r="C5" s="67">
        <v>33856</v>
      </c>
      <c r="D5" s="88">
        <f t="shared" ca="1" si="0"/>
        <v>29</v>
      </c>
      <c r="E5" s="66">
        <v>6</v>
      </c>
      <c r="F5" s="66">
        <v>6</v>
      </c>
      <c r="G5" s="66">
        <v>6</v>
      </c>
      <c r="H5" s="66">
        <f t="shared" si="1"/>
        <v>18</v>
      </c>
      <c r="I5" s="66">
        <f t="shared" si="2"/>
        <v>6</v>
      </c>
      <c r="J5" s="89" t="str">
        <f t="shared" si="3"/>
        <v>ĐẬU</v>
      </c>
    </row>
    <row r="6" spans="1:10" ht="19.5" x14ac:dyDescent="0.3">
      <c r="A6" s="66">
        <v>4</v>
      </c>
      <c r="B6" s="66" t="str">
        <f>PROPER("trần thiên thu")</f>
        <v>Trần Thiên Thu</v>
      </c>
      <c r="C6" s="67">
        <v>35061</v>
      </c>
      <c r="D6" s="88">
        <f t="shared" ca="1" si="0"/>
        <v>26</v>
      </c>
      <c r="E6" s="66">
        <v>2</v>
      </c>
      <c r="F6" s="66">
        <v>5</v>
      </c>
      <c r="G6" s="66">
        <v>5</v>
      </c>
      <c r="H6" s="66">
        <f t="shared" si="1"/>
        <v>12</v>
      </c>
      <c r="I6" s="66">
        <f t="shared" si="2"/>
        <v>3.8</v>
      </c>
      <c r="J6" s="91" t="str">
        <f t="shared" si="3"/>
        <v>RỚT</v>
      </c>
    </row>
    <row r="7" spans="1:10" ht="19.5" x14ac:dyDescent="0.3">
      <c r="A7" s="66">
        <v>5</v>
      </c>
      <c r="B7" s="66" t="str">
        <f>PROPER("lâm hoàng cát")</f>
        <v>Lâm Hoàng Cát</v>
      </c>
      <c r="C7" s="67">
        <v>32383</v>
      </c>
      <c r="D7" s="88">
        <f t="shared" ca="1" si="0"/>
        <v>33</v>
      </c>
      <c r="E7" s="66">
        <v>7</v>
      </c>
      <c r="F7" s="66">
        <v>5</v>
      </c>
      <c r="G7" s="66">
        <v>7</v>
      </c>
      <c r="H7" s="66">
        <f t="shared" si="1"/>
        <v>19</v>
      </c>
      <c r="I7" s="66">
        <f t="shared" si="2"/>
        <v>6.2</v>
      </c>
      <c r="J7" s="89" t="str">
        <f t="shared" si="3"/>
        <v>ĐẬU</v>
      </c>
    </row>
    <row r="8" spans="1:10" ht="19.5" x14ac:dyDescent="0.3">
      <c r="A8" s="66">
        <v>6</v>
      </c>
      <c r="B8" s="66" t="str">
        <f>PROPER("lê hoài sơn")</f>
        <v>Lê Hoài Sơn</v>
      </c>
      <c r="C8" s="67">
        <v>33176</v>
      </c>
      <c r="D8" s="88">
        <f t="shared" ca="1" si="0"/>
        <v>31</v>
      </c>
      <c r="E8" s="66">
        <v>8</v>
      </c>
      <c r="F8" s="66">
        <v>5</v>
      </c>
      <c r="G8" s="66">
        <v>7</v>
      </c>
      <c r="H8" s="66">
        <f t="shared" si="1"/>
        <v>20</v>
      </c>
      <c r="I8" s="66">
        <f t="shared" si="2"/>
        <v>6.6</v>
      </c>
      <c r="J8" s="89" t="str">
        <f t="shared" si="3"/>
        <v>ĐẬU</v>
      </c>
    </row>
    <row r="9" spans="1:10" ht="19.5" x14ac:dyDescent="0.3">
      <c r="A9" s="66">
        <v>7</v>
      </c>
      <c r="B9" s="66" t="str">
        <f>PROPER("lý lâm")</f>
        <v>Lý Lâm</v>
      </c>
      <c r="C9" s="67">
        <v>36102</v>
      </c>
      <c r="D9" s="88">
        <f t="shared" ca="1" si="0"/>
        <v>23</v>
      </c>
      <c r="E9" s="66">
        <v>9</v>
      </c>
      <c r="F9" s="66">
        <v>5</v>
      </c>
      <c r="G9" s="66">
        <v>8</v>
      </c>
      <c r="H9" s="66">
        <f t="shared" si="1"/>
        <v>22</v>
      </c>
      <c r="I9" s="66">
        <f t="shared" si="2"/>
        <v>7.2</v>
      </c>
      <c r="J9" s="89" t="str">
        <f t="shared" si="3"/>
        <v>ĐẬU</v>
      </c>
    </row>
    <row r="10" spans="1:10" ht="19.5" x14ac:dyDescent="0.3">
      <c r="A10" s="66">
        <v>8</v>
      </c>
      <c r="B10" s="66" t="str">
        <f>PROPER("trần văn trung")</f>
        <v>Trần Văn Trung</v>
      </c>
      <c r="C10" s="67">
        <v>33140</v>
      </c>
      <c r="D10" s="88">
        <f t="shared" ca="1" si="0"/>
        <v>31</v>
      </c>
      <c r="E10" s="66">
        <v>4</v>
      </c>
      <c r="F10" s="66">
        <v>5</v>
      </c>
      <c r="G10" s="66">
        <v>6</v>
      </c>
      <c r="H10" s="66">
        <f t="shared" si="1"/>
        <v>15</v>
      </c>
      <c r="I10" s="66">
        <f t="shared" si="2"/>
        <v>4.8</v>
      </c>
      <c r="J10" s="91" t="str">
        <f t="shared" si="3"/>
        <v>RỚT</v>
      </c>
    </row>
    <row r="11" spans="1:10" ht="19.5" x14ac:dyDescent="0.3">
      <c r="A11" s="66">
        <v>9</v>
      </c>
      <c r="B11" s="66" t="str">
        <f>PROPER("nguyễn văn tráng")</f>
        <v>Nguyễn Văn Tráng</v>
      </c>
      <c r="C11" s="67">
        <v>35045</v>
      </c>
      <c r="D11" s="88">
        <f t="shared" ca="1" si="0"/>
        <v>26</v>
      </c>
      <c r="E11" s="66">
        <v>6</v>
      </c>
      <c r="F11" s="66">
        <v>5</v>
      </c>
      <c r="G11" s="66">
        <v>5</v>
      </c>
      <c r="H11" s="66">
        <f t="shared" si="1"/>
        <v>16</v>
      </c>
      <c r="I11" s="66">
        <f t="shared" si="2"/>
        <v>5.4</v>
      </c>
      <c r="J11" s="89" t="str">
        <f t="shared" si="3"/>
        <v>ĐẬU</v>
      </c>
    </row>
    <row r="12" spans="1:10" ht="19.5" x14ac:dyDescent="0.3">
      <c r="A12" s="66">
        <v>10</v>
      </c>
      <c r="B12" s="66" t="str">
        <f>PROPER("lý thu nga")</f>
        <v>Lý Thu Nga</v>
      </c>
      <c r="C12" s="67">
        <v>32446</v>
      </c>
      <c r="D12" s="88">
        <f t="shared" ca="1" si="0"/>
        <v>33</v>
      </c>
      <c r="E12" s="66">
        <v>8</v>
      </c>
      <c r="F12" s="66">
        <v>4</v>
      </c>
      <c r="G12" s="66">
        <v>6</v>
      </c>
      <c r="H12" s="66">
        <f t="shared" si="1"/>
        <v>18</v>
      </c>
      <c r="I12" s="66">
        <f t="shared" si="2"/>
        <v>6</v>
      </c>
      <c r="J12" s="89" t="str">
        <f t="shared" si="3"/>
        <v>ĐẬU</v>
      </c>
    </row>
    <row r="13" spans="1:10" ht="19.5" x14ac:dyDescent="0.3">
      <c r="A13" s="66">
        <v>11</v>
      </c>
      <c r="B13" s="66" t="str">
        <f>PROPER("nguyễn văn hùng")</f>
        <v>Nguyễn Văn Hùng</v>
      </c>
      <c r="C13" s="67">
        <v>33137</v>
      </c>
      <c r="D13" s="88">
        <f t="shared" ca="1" si="0"/>
        <v>31</v>
      </c>
      <c r="E13" s="66">
        <v>4</v>
      </c>
      <c r="F13" s="66">
        <v>4</v>
      </c>
      <c r="G13" s="66">
        <v>6</v>
      </c>
      <c r="H13" s="66">
        <f t="shared" si="1"/>
        <v>14</v>
      </c>
      <c r="I13" s="66">
        <f t="shared" si="2"/>
        <v>4.4000000000000004</v>
      </c>
      <c r="J13" s="91" t="str">
        <f t="shared" si="3"/>
        <v>RỚT</v>
      </c>
    </row>
    <row r="14" spans="1:10" ht="19.5" x14ac:dyDescent="0.3">
      <c r="A14" s="66">
        <v>12</v>
      </c>
      <c r="B14" s="66" t="str">
        <f>PROPER("trần thi phượng")</f>
        <v>Trần Thi Phượng</v>
      </c>
      <c r="C14" s="67">
        <v>33480</v>
      </c>
      <c r="D14" s="88">
        <f t="shared" ca="1" si="0"/>
        <v>30</v>
      </c>
      <c r="E14" s="66">
        <v>7</v>
      </c>
      <c r="F14" s="66">
        <v>7</v>
      </c>
      <c r="G14" s="66">
        <v>6</v>
      </c>
      <c r="H14" s="66">
        <f t="shared" si="1"/>
        <v>20</v>
      </c>
      <c r="I14" s="66">
        <f t="shared" si="2"/>
        <v>6.8</v>
      </c>
      <c r="J14" s="89" t="str">
        <f t="shared" si="3"/>
        <v>ĐẬU</v>
      </c>
    </row>
    <row r="15" spans="1:10" ht="19.5" x14ac:dyDescent="0.3">
      <c r="A15" s="66">
        <v>13</v>
      </c>
      <c r="B15" s="66" t="str">
        <f>PROPER("võ công thành")</f>
        <v>Võ Công Thành</v>
      </c>
      <c r="C15" s="67">
        <v>34974</v>
      </c>
      <c r="D15" s="88">
        <f t="shared" ca="1" si="0"/>
        <v>26</v>
      </c>
      <c r="E15" s="66">
        <v>8</v>
      </c>
      <c r="F15" s="66">
        <v>8</v>
      </c>
      <c r="G15" s="66">
        <v>5</v>
      </c>
      <c r="H15" s="66">
        <f t="shared" si="1"/>
        <v>21</v>
      </c>
      <c r="I15" s="66">
        <f t="shared" si="2"/>
        <v>7.4</v>
      </c>
      <c r="J15" s="89" t="str">
        <f t="shared" si="3"/>
        <v>ĐẬU</v>
      </c>
    </row>
    <row r="16" spans="1:10" ht="19.5" x14ac:dyDescent="0.3">
      <c r="A16" s="66">
        <v>14</v>
      </c>
      <c r="B16" s="66" t="str">
        <f>PROPER("lê văn minh")</f>
        <v>Lê Văn Minh</v>
      </c>
      <c r="C16" s="67">
        <v>33126</v>
      </c>
      <c r="D16" s="88">
        <f t="shared" ca="1" si="0"/>
        <v>31</v>
      </c>
      <c r="E16" s="66">
        <v>3</v>
      </c>
      <c r="F16" s="66">
        <v>9</v>
      </c>
      <c r="G16" s="66">
        <v>8</v>
      </c>
      <c r="H16" s="66">
        <f t="shared" si="1"/>
        <v>20</v>
      </c>
      <c r="I16" s="66">
        <f t="shared" si="2"/>
        <v>6.4</v>
      </c>
      <c r="J16" s="89" t="str">
        <f t="shared" si="3"/>
        <v>ĐẬU</v>
      </c>
    </row>
    <row r="17" spans="1:10" ht="19.5" x14ac:dyDescent="0.3">
      <c r="A17" s="66">
        <v>15</v>
      </c>
      <c r="B17" s="66" t="str">
        <f>PROPER("doãn hòa")</f>
        <v>Doãn Hòa</v>
      </c>
      <c r="C17" s="67">
        <v>32983</v>
      </c>
      <c r="D17" s="88">
        <f t="shared" ca="1" si="0"/>
        <v>31</v>
      </c>
      <c r="E17" s="90">
        <v>5</v>
      </c>
      <c r="F17" s="90">
        <v>8</v>
      </c>
      <c r="G17" s="90">
        <v>9</v>
      </c>
      <c r="H17" s="66">
        <f t="shared" si="1"/>
        <v>22</v>
      </c>
      <c r="I17" s="66">
        <f t="shared" si="2"/>
        <v>7</v>
      </c>
      <c r="J17" s="89" t="str">
        <f t="shared" si="3"/>
        <v>ĐẬU</v>
      </c>
    </row>
    <row r="18" spans="1:10" ht="19.5" x14ac:dyDescent="0.3">
      <c r="A18" s="116" t="s">
        <v>142</v>
      </c>
      <c r="B18" s="116"/>
      <c r="C18" s="99"/>
      <c r="D18" s="99"/>
      <c r="E18" s="66">
        <f>SUM(E3:E17)</f>
        <v>86</v>
      </c>
      <c r="F18" s="66">
        <f t="shared" ref="F18:G18" si="4">SUM(F3:F17)</f>
        <v>83</v>
      </c>
      <c r="G18" s="66">
        <f t="shared" si="4"/>
        <v>95</v>
      </c>
      <c r="H18" s="66"/>
      <c r="I18" s="66"/>
      <c r="J18" s="66"/>
    </row>
    <row r="19" spans="1:10" ht="19.5" x14ac:dyDescent="0.3">
      <c r="A19" s="116" t="s">
        <v>143</v>
      </c>
      <c r="B19" s="116"/>
      <c r="C19" s="99"/>
      <c r="D19" s="99"/>
      <c r="E19" s="101">
        <f>AVERAGE(E3:E17)</f>
        <v>5.7333333333333334</v>
      </c>
      <c r="F19" s="101">
        <f t="shared" ref="F19:G19" si="5">AVERAGE(F3:F17)</f>
        <v>5.5333333333333332</v>
      </c>
      <c r="G19" s="101">
        <f t="shared" si="5"/>
        <v>6.333333333333333</v>
      </c>
      <c r="H19" s="66"/>
      <c r="I19" s="66"/>
      <c r="J19" s="66"/>
    </row>
    <row r="20" spans="1:10" ht="19.5" x14ac:dyDescent="0.3">
      <c r="A20" s="116" t="s">
        <v>144</v>
      </c>
      <c r="B20" s="116"/>
      <c r="C20" s="99"/>
      <c r="D20" s="99"/>
      <c r="E20" s="66">
        <f>MAX(E3:E17)</f>
        <v>9</v>
      </c>
      <c r="F20" s="66">
        <f t="shared" ref="F20:G20" si="6">MAX(F3:F17)</f>
        <v>9</v>
      </c>
      <c r="G20" s="66">
        <f t="shared" si="6"/>
        <v>9</v>
      </c>
      <c r="H20" s="66"/>
      <c r="I20" s="66"/>
      <c r="J20" s="66"/>
    </row>
    <row r="21" spans="1:10" ht="19.5" x14ac:dyDescent="0.3">
      <c r="A21" s="116" t="s">
        <v>145</v>
      </c>
      <c r="B21" s="116"/>
      <c r="C21" s="99"/>
      <c r="D21" s="99"/>
      <c r="E21" s="66">
        <f>MIN(E3:E17)</f>
        <v>2</v>
      </c>
      <c r="F21" s="66">
        <f>MIN(F3:F17)</f>
        <v>2</v>
      </c>
      <c r="G21" s="66">
        <f>MIN(G3:G17)</f>
        <v>3</v>
      </c>
      <c r="H21" s="66"/>
      <c r="I21" s="66"/>
      <c r="J21" s="66"/>
    </row>
    <row r="23" spans="1:10" ht="21" x14ac:dyDescent="0.35">
      <c r="A23" s="68" t="s">
        <v>51</v>
      </c>
    </row>
    <row r="24" spans="1:10" s="69" customFormat="1" ht="20.25" x14ac:dyDescent="0.3">
      <c r="A24" s="69" t="s">
        <v>146</v>
      </c>
    </row>
    <row r="25" spans="1:10" s="69" customFormat="1" ht="20.25" x14ac:dyDescent="0.3">
      <c r="A25" s="69" t="s">
        <v>147</v>
      </c>
      <c r="C25" s="70"/>
    </row>
    <row r="26" spans="1:10" s="69" customFormat="1" ht="20.25" x14ac:dyDescent="0.3">
      <c r="A26" s="69" t="s">
        <v>148</v>
      </c>
    </row>
    <row r="27" spans="1:10" s="69" customFormat="1" ht="20.25" x14ac:dyDescent="0.3">
      <c r="A27" s="69" t="s">
        <v>149</v>
      </c>
    </row>
    <row r="28" spans="1:10" s="69" customFormat="1" ht="20.25" x14ac:dyDescent="0.3">
      <c r="A28" s="69" t="s">
        <v>150</v>
      </c>
    </row>
    <row r="29" spans="1:10" s="69" customFormat="1" ht="20.25" x14ac:dyDescent="0.3">
      <c r="A29" s="69" t="s">
        <v>151</v>
      </c>
    </row>
    <row r="30" spans="1:10" s="69" customFormat="1" ht="20.25" x14ac:dyDescent="0.3">
      <c r="A30" s="69" t="s">
        <v>152</v>
      </c>
    </row>
    <row r="31" spans="1:10" s="69" customFormat="1" ht="20.25" x14ac:dyDescent="0.3">
      <c r="A31" s="69" t="s">
        <v>153</v>
      </c>
    </row>
    <row r="32" spans="1:10" ht="20.25" x14ac:dyDescent="0.3">
      <c r="A32" s="69" t="s">
        <v>154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opLeftCell="A4" workbookViewId="0">
      <selection activeCell="H19" sqref="H19"/>
    </sheetView>
  </sheetViews>
  <sheetFormatPr defaultRowHeight="15" x14ac:dyDescent="0.2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16.42578125" customWidth="1"/>
    <col min="8" max="8" width="13.85546875" customWidth="1"/>
    <col min="9" max="9" width="18.5703125" customWidth="1"/>
  </cols>
  <sheetData>
    <row r="1" spans="1:9" ht="24" thickBot="1" x14ac:dyDescent="0.4">
      <c r="A1" s="117" t="s">
        <v>155</v>
      </c>
      <c r="B1" s="117"/>
      <c r="C1" s="117"/>
      <c r="D1" s="117"/>
      <c r="E1" s="117"/>
      <c r="F1" s="117"/>
      <c r="G1" s="117"/>
      <c r="H1" s="117"/>
      <c r="I1" s="117"/>
    </row>
    <row r="2" spans="1:9" ht="18.75" thickTop="1" thickBot="1" x14ac:dyDescent="0.35">
      <c r="A2" s="71" t="s">
        <v>156</v>
      </c>
      <c r="B2" s="71" t="s">
        <v>157</v>
      </c>
      <c r="C2" s="71" t="s">
        <v>158</v>
      </c>
      <c r="D2" s="71" t="s">
        <v>159</v>
      </c>
      <c r="E2" s="71" t="s">
        <v>160</v>
      </c>
      <c r="F2" s="71" t="s">
        <v>161</v>
      </c>
      <c r="G2" s="71" t="s">
        <v>162</v>
      </c>
      <c r="H2" s="71" t="s">
        <v>163</v>
      </c>
      <c r="I2" s="71" t="s">
        <v>164</v>
      </c>
    </row>
    <row r="3" spans="1:9" ht="19.5" thickTop="1" x14ac:dyDescent="0.3">
      <c r="A3" s="94">
        <v>1</v>
      </c>
      <c r="B3" s="72" t="s">
        <v>165</v>
      </c>
      <c r="C3" s="72">
        <v>8</v>
      </c>
      <c r="D3" s="72">
        <v>15</v>
      </c>
      <c r="E3" s="72">
        <v>9</v>
      </c>
      <c r="F3" s="92">
        <f>AVERAGE(C3:E3)</f>
        <v>10.666666666666666</v>
      </c>
      <c r="G3" s="93" t="str">
        <f>IF(F3&gt;=16,"Excellent",IF(AND(F3&lt;16,F3&gt;=14),"Very Good",IF(AND(F3&lt;14,F3&gt;=12),"Good",IF(AND(F3&lt;12,F3&gt;=10),"Pass","Fail"))))</f>
        <v>Pass</v>
      </c>
      <c r="H3" s="72">
        <f>RANK(F3,$F$3:$F$13,0)</f>
        <v>8</v>
      </c>
      <c r="I3" s="72" t="str">
        <f>IF(AND(F3&gt;12,C3&gt;10,D3&gt;10,E3&gt;10),"Thưởng","Không thưởng")</f>
        <v>Không thưởng</v>
      </c>
    </row>
    <row r="4" spans="1:9" ht="18.75" x14ac:dyDescent="0.3">
      <c r="A4" s="94">
        <v>2</v>
      </c>
      <c r="B4" s="72" t="s">
        <v>166</v>
      </c>
      <c r="C4" s="72">
        <v>4</v>
      </c>
      <c r="D4" s="72">
        <v>15</v>
      </c>
      <c r="E4" s="72">
        <v>16</v>
      </c>
      <c r="F4" s="92">
        <f t="shared" ref="F4:F13" si="0">AVERAGE(C4:E4)</f>
        <v>11.666666666666666</v>
      </c>
      <c r="G4" s="93" t="str">
        <f t="shared" ref="G4:G13" si="1">IF(F4&gt;=16,"Excellent",IF(AND(F4&lt;16,F4&gt;=14),"Very Good",IF(AND(F4&lt;14,F4&gt;=12),"Good",IF(AND(F4&lt;12,F4&gt;=10),"Pass","Fail"))))</f>
        <v>Pass</v>
      </c>
      <c r="H4" s="72">
        <f t="shared" ref="H4:H13" si="2">RANK(F4,$F$3:$F$13,0)</f>
        <v>5</v>
      </c>
      <c r="I4" s="72" t="str">
        <f t="shared" ref="I4:I13" si="3">IF(AND(F4&gt;12,C4&gt;10,D4&gt;10,E4&gt;10),"Thưởng","Không thưởng")</f>
        <v>Không thưởng</v>
      </c>
    </row>
    <row r="5" spans="1:9" ht="18.75" x14ac:dyDescent="0.3">
      <c r="A5" s="94">
        <v>3</v>
      </c>
      <c r="B5" s="72" t="s">
        <v>167</v>
      </c>
      <c r="C5" s="72">
        <v>11</v>
      </c>
      <c r="D5" s="72">
        <v>6</v>
      </c>
      <c r="E5" s="72">
        <v>8</v>
      </c>
      <c r="F5" s="92">
        <f t="shared" si="0"/>
        <v>8.3333333333333339</v>
      </c>
      <c r="G5" s="93" t="str">
        <f t="shared" si="1"/>
        <v>Fail</v>
      </c>
      <c r="H5" s="72">
        <f t="shared" si="2"/>
        <v>10</v>
      </c>
      <c r="I5" s="72" t="str">
        <f t="shared" si="3"/>
        <v>Không thưởng</v>
      </c>
    </row>
    <row r="6" spans="1:9" ht="18.75" x14ac:dyDescent="0.3">
      <c r="A6" s="94">
        <v>4</v>
      </c>
      <c r="B6" s="72" t="s">
        <v>168</v>
      </c>
      <c r="C6" s="72">
        <v>17</v>
      </c>
      <c r="D6" s="72">
        <v>16</v>
      </c>
      <c r="E6" s="72">
        <v>3</v>
      </c>
      <c r="F6" s="92">
        <f t="shared" si="0"/>
        <v>12</v>
      </c>
      <c r="G6" s="93" t="str">
        <f t="shared" si="1"/>
        <v>Good</v>
      </c>
      <c r="H6" s="72">
        <f t="shared" si="2"/>
        <v>4</v>
      </c>
      <c r="I6" s="72" t="str">
        <f t="shared" si="3"/>
        <v>Không thưởng</v>
      </c>
    </row>
    <row r="7" spans="1:9" ht="18.75" x14ac:dyDescent="0.3">
      <c r="A7" s="94">
        <v>5</v>
      </c>
      <c r="B7" s="72" t="s">
        <v>169</v>
      </c>
      <c r="C7" s="72">
        <v>17</v>
      </c>
      <c r="D7" s="72">
        <v>18</v>
      </c>
      <c r="E7" s="72">
        <v>10</v>
      </c>
      <c r="F7" s="92">
        <f t="shared" si="0"/>
        <v>15</v>
      </c>
      <c r="G7" s="93" t="str">
        <f t="shared" si="1"/>
        <v>Very Good</v>
      </c>
      <c r="H7" s="72">
        <f t="shared" si="2"/>
        <v>2</v>
      </c>
      <c r="I7" s="72" t="str">
        <f t="shared" si="3"/>
        <v>Không thưởng</v>
      </c>
    </row>
    <row r="8" spans="1:9" ht="18.75" x14ac:dyDescent="0.3">
      <c r="A8" s="94">
        <v>6</v>
      </c>
      <c r="B8" s="72" t="s">
        <v>170</v>
      </c>
      <c r="C8" s="72">
        <v>6</v>
      </c>
      <c r="D8" s="72">
        <v>5</v>
      </c>
      <c r="E8" s="72">
        <v>13</v>
      </c>
      <c r="F8" s="92">
        <f t="shared" si="0"/>
        <v>8</v>
      </c>
      <c r="G8" s="93" t="str">
        <f t="shared" si="1"/>
        <v>Fail</v>
      </c>
      <c r="H8" s="72">
        <f t="shared" si="2"/>
        <v>11</v>
      </c>
      <c r="I8" s="72" t="str">
        <f t="shared" si="3"/>
        <v>Không thưởng</v>
      </c>
    </row>
    <row r="9" spans="1:9" ht="18.75" x14ac:dyDescent="0.3">
      <c r="A9" s="94">
        <v>7</v>
      </c>
      <c r="B9" s="72" t="s">
        <v>171</v>
      </c>
      <c r="C9" s="72">
        <v>18</v>
      </c>
      <c r="D9" s="72">
        <v>19</v>
      </c>
      <c r="E9" s="72">
        <v>15</v>
      </c>
      <c r="F9" s="92">
        <f t="shared" si="0"/>
        <v>17.333333333333332</v>
      </c>
      <c r="G9" s="93" t="str">
        <f t="shared" si="1"/>
        <v>Excellent</v>
      </c>
      <c r="H9" s="72">
        <f t="shared" si="2"/>
        <v>1</v>
      </c>
      <c r="I9" s="72" t="str">
        <f t="shared" si="3"/>
        <v>Thưởng</v>
      </c>
    </row>
    <row r="10" spans="1:9" ht="18.75" x14ac:dyDescent="0.3">
      <c r="A10" s="94">
        <v>8</v>
      </c>
      <c r="B10" s="72" t="s">
        <v>172</v>
      </c>
      <c r="C10" s="72">
        <v>15</v>
      </c>
      <c r="D10" s="72">
        <v>8</v>
      </c>
      <c r="E10" s="72">
        <v>6</v>
      </c>
      <c r="F10" s="92">
        <f t="shared" si="0"/>
        <v>9.6666666666666661</v>
      </c>
      <c r="G10" s="93" t="str">
        <f t="shared" si="1"/>
        <v>Fail</v>
      </c>
      <c r="H10" s="72">
        <f t="shared" si="2"/>
        <v>9</v>
      </c>
      <c r="I10" s="72" t="str">
        <f t="shared" si="3"/>
        <v>Không thưởng</v>
      </c>
    </row>
    <row r="11" spans="1:9" ht="18.75" x14ac:dyDescent="0.3">
      <c r="A11" s="94">
        <v>9</v>
      </c>
      <c r="B11" s="72" t="s">
        <v>173</v>
      </c>
      <c r="C11" s="72">
        <v>15</v>
      </c>
      <c r="D11" s="72">
        <v>4</v>
      </c>
      <c r="E11" s="72">
        <v>16</v>
      </c>
      <c r="F11" s="92">
        <f t="shared" si="0"/>
        <v>11.666666666666666</v>
      </c>
      <c r="G11" s="93" t="str">
        <f t="shared" si="1"/>
        <v>Pass</v>
      </c>
      <c r="H11" s="72">
        <f t="shared" si="2"/>
        <v>5</v>
      </c>
      <c r="I11" s="72" t="str">
        <f t="shared" si="3"/>
        <v>Không thưởng</v>
      </c>
    </row>
    <row r="12" spans="1:9" ht="18.75" x14ac:dyDescent="0.3">
      <c r="A12" s="94">
        <v>10</v>
      </c>
      <c r="B12" s="72" t="s">
        <v>168</v>
      </c>
      <c r="C12" s="72">
        <v>6</v>
      </c>
      <c r="D12" s="72">
        <v>11</v>
      </c>
      <c r="E12" s="72">
        <v>18</v>
      </c>
      <c r="F12" s="92">
        <f t="shared" si="0"/>
        <v>11.666666666666666</v>
      </c>
      <c r="G12" s="93" t="str">
        <f t="shared" si="1"/>
        <v>Pass</v>
      </c>
      <c r="H12" s="72">
        <f t="shared" si="2"/>
        <v>5</v>
      </c>
      <c r="I12" s="72" t="str">
        <f t="shared" si="3"/>
        <v>Không thưởng</v>
      </c>
    </row>
    <row r="13" spans="1:9" ht="18.75" x14ac:dyDescent="0.3">
      <c r="A13" s="94">
        <v>11</v>
      </c>
      <c r="B13" s="72" t="s">
        <v>174</v>
      </c>
      <c r="C13" s="72">
        <v>16</v>
      </c>
      <c r="D13" s="72">
        <v>17</v>
      </c>
      <c r="E13" s="72">
        <v>5</v>
      </c>
      <c r="F13" s="92">
        <f t="shared" si="0"/>
        <v>12.666666666666666</v>
      </c>
      <c r="G13" s="93" t="str">
        <f t="shared" si="1"/>
        <v>Good</v>
      </c>
      <c r="H13" s="72">
        <f t="shared" si="2"/>
        <v>3</v>
      </c>
      <c r="I13" s="72" t="str">
        <f t="shared" si="3"/>
        <v>Không thưởng</v>
      </c>
    </row>
    <row r="14" spans="1:9" ht="18.75" x14ac:dyDescent="0.3">
      <c r="B14" s="73"/>
      <c r="C14" s="73"/>
      <c r="D14" s="73"/>
      <c r="E14" s="73"/>
    </row>
    <row r="15" spans="1:9" ht="18.75" x14ac:dyDescent="0.3">
      <c r="A15" s="74" t="s">
        <v>120</v>
      </c>
      <c r="C15" s="73"/>
    </row>
    <row r="16" spans="1:9" s="75" customFormat="1" ht="20.25" x14ac:dyDescent="0.3">
      <c r="A16" s="75" t="s">
        <v>175</v>
      </c>
      <c r="B16" s="76"/>
    </row>
    <row r="17" spans="1:3" s="75" customFormat="1" ht="20.25" x14ac:dyDescent="0.3">
      <c r="A17" s="75" t="s">
        <v>176</v>
      </c>
    </row>
    <row r="18" spans="1:3" s="75" customFormat="1" ht="20.25" x14ac:dyDescent="0.3">
      <c r="B18" s="75" t="s">
        <v>177</v>
      </c>
    </row>
    <row r="19" spans="1:3" s="75" customFormat="1" ht="20.25" x14ac:dyDescent="0.3">
      <c r="B19" s="75" t="s">
        <v>178</v>
      </c>
      <c r="C19" s="77"/>
    </row>
    <row r="20" spans="1:3" s="75" customFormat="1" ht="20.25" x14ac:dyDescent="0.3">
      <c r="B20" s="75" t="s">
        <v>179</v>
      </c>
      <c r="C20" s="77"/>
    </row>
    <row r="21" spans="1:3" s="75" customFormat="1" ht="20.25" x14ac:dyDescent="0.3">
      <c r="B21" s="75" t="s">
        <v>180</v>
      </c>
      <c r="C21" s="77"/>
    </row>
    <row r="22" spans="1:3" s="78" customFormat="1" ht="21" x14ac:dyDescent="0.35">
      <c r="B22" s="75" t="s">
        <v>181</v>
      </c>
      <c r="C22" s="77"/>
    </row>
    <row r="23" spans="1:3" s="78" customFormat="1" ht="21" x14ac:dyDescent="0.35">
      <c r="A23" s="75" t="s">
        <v>182</v>
      </c>
      <c r="C23" s="77"/>
    </row>
    <row r="24" spans="1:3" s="78" customFormat="1" ht="21" x14ac:dyDescent="0.35">
      <c r="A24" s="75" t="s">
        <v>183</v>
      </c>
    </row>
    <row r="25" spans="1:3" s="78" customFormat="1" ht="21" x14ac:dyDescent="0.35">
      <c r="A25" s="75" t="s">
        <v>184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Administrator</cp:lastModifiedBy>
  <cp:lastPrinted>2021-11-04T11:08:08Z</cp:lastPrinted>
  <dcterms:created xsi:type="dcterms:W3CDTF">2021-11-03T00:51:30Z</dcterms:created>
  <dcterms:modified xsi:type="dcterms:W3CDTF">2021-11-05T11:53:37Z</dcterms:modified>
</cp:coreProperties>
</file>