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7D96EB6-5BFC-44BC-8377-372589E1CA9E}" xr6:coauthVersionLast="47" xr6:coauthVersionMax="47" xr10:uidLastSave="{00000000-0000-0000-0000-000000000000}"/>
  <bookViews>
    <workbookView xWindow="-120" yWindow="-120" windowWidth="29040" windowHeight="15840" activeTab="1" xr2:uid="{0D0CEDAF-4CE1-49A6-B3E4-DEB9B013376C}"/>
  </bookViews>
  <sheets>
    <sheet name="Main" sheetId="1" r:id="rId1"/>
    <sheet name="DC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2" l="1"/>
  <c r="AH19" i="2" s="1"/>
  <c r="AI19" i="2" s="1"/>
  <c r="AJ19" i="2" s="1"/>
  <c r="AK19" i="2" s="1"/>
  <c r="AL19" i="2" s="1"/>
  <c r="V19" i="2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V2" i="2"/>
  <c r="U23" i="2"/>
  <c r="T23" i="2"/>
  <c r="T19" i="2"/>
  <c r="U19" i="2"/>
  <c r="S19" i="2"/>
  <c r="N18" i="2"/>
  <c r="L24" i="2"/>
  <c r="H24" i="2"/>
  <c r="I24" i="2"/>
  <c r="J24" i="2"/>
  <c r="K24" i="2"/>
  <c r="M24" i="2"/>
  <c r="G24" i="2"/>
  <c r="H22" i="2"/>
  <c r="U28" i="2" l="1"/>
  <c r="U29" i="2" s="1"/>
  <c r="M18" i="2" l="1"/>
  <c r="N6" i="2"/>
  <c r="N5" i="2"/>
  <c r="N4" i="2"/>
  <c r="M22" i="2"/>
  <c r="M17" i="2"/>
  <c r="M15" i="2"/>
  <c r="L15" i="2"/>
  <c r="M13" i="2"/>
  <c r="M6" i="2"/>
  <c r="M9" i="2" s="1"/>
  <c r="M23" i="2" s="1"/>
  <c r="C13" i="2"/>
  <c r="D13" i="2"/>
  <c r="E13" i="2"/>
  <c r="F13" i="2"/>
  <c r="G13" i="2"/>
  <c r="H13" i="2"/>
  <c r="I13" i="2"/>
  <c r="J13" i="2"/>
  <c r="K13" i="2"/>
  <c r="K6" i="2"/>
  <c r="K9" i="2" s="1"/>
  <c r="K23" i="2" s="1"/>
  <c r="M14" i="2" l="1"/>
  <c r="M16" i="2" s="1"/>
  <c r="M20" i="2" s="1"/>
  <c r="E6" i="2"/>
  <c r="E9" i="2" s="1"/>
  <c r="E23" i="2" s="1"/>
  <c r="F6" i="2"/>
  <c r="F9" i="2" s="1"/>
  <c r="F23" i="2" s="1"/>
  <c r="G6" i="2"/>
  <c r="H6" i="2"/>
  <c r="I6" i="2"/>
  <c r="J6" i="2"/>
  <c r="L6" i="2"/>
  <c r="L17" i="2"/>
  <c r="K17" i="2"/>
  <c r="I17" i="2"/>
  <c r="H17" i="2"/>
  <c r="G17" i="2"/>
  <c r="E17" i="2"/>
  <c r="C17" i="2"/>
  <c r="K15" i="2"/>
  <c r="J15" i="2"/>
  <c r="I15" i="2"/>
  <c r="H15" i="2"/>
  <c r="G15" i="2"/>
  <c r="F15" i="2"/>
  <c r="E15" i="2"/>
  <c r="D15" i="2"/>
  <c r="C15" i="2"/>
  <c r="L12" i="2"/>
  <c r="L13" i="2" s="1"/>
  <c r="K14" i="2"/>
  <c r="D6" i="2"/>
  <c r="C6" i="2"/>
  <c r="C9" i="2" s="1"/>
  <c r="C23" i="2" s="1"/>
  <c r="J9" i="2" l="1"/>
  <c r="J22" i="2"/>
  <c r="H9" i="2"/>
  <c r="H23" i="2" s="1"/>
  <c r="L9" i="2"/>
  <c r="L23" i="2" s="1"/>
  <c r="L22" i="2"/>
  <c r="G9" i="2"/>
  <c r="G23" i="2" s="1"/>
  <c r="G22" i="2"/>
  <c r="K22" i="2"/>
  <c r="I9" i="2"/>
  <c r="I22" i="2"/>
  <c r="D9" i="2"/>
  <c r="K16" i="2"/>
  <c r="K18" i="2" s="1"/>
  <c r="K20" i="2" s="1"/>
  <c r="C14" i="2"/>
  <c r="C16" i="2" s="1"/>
  <c r="C18" i="2" s="1"/>
  <c r="C20" i="2" s="1"/>
  <c r="F14" i="2"/>
  <c r="F16" i="2" s="1"/>
  <c r="F18" i="2" s="1"/>
  <c r="F20" i="2" s="1"/>
  <c r="E14" i="2"/>
  <c r="E16" i="2" s="1"/>
  <c r="E18" i="2" s="1"/>
  <c r="E20" i="2" s="1"/>
  <c r="L14" i="2"/>
  <c r="L16" i="2" s="1"/>
  <c r="L18" i="2" s="1"/>
  <c r="L20" i="2" s="1"/>
  <c r="J7" i="1"/>
  <c r="H14" i="2" l="1"/>
  <c r="H16" i="2" s="1"/>
  <c r="H18" i="2" s="1"/>
  <c r="H20" i="2" s="1"/>
  <c r="D14" i="2"/>
  <c r="D16" i="2" s="1"/>
  <c r="D18" i="2" s="1"/>
  <c r="D20" i="2" s="1"/>
  <c r="D23" i="2"/>
  <c r="I14" i="2"/>
  <c r="I16" i="2" s="1"/>
  <c r="I23" i="2"/>
  <c r="G14" i="2"/>
  <c r="G16" i="2" s="1"/>
  <c r="G18" i="2" s="1"/>
  <c r="G20" i="2" s="1"/>
  <c r="J23" i="2"/>
  <c r="J14" i="2"/>
  <c r="J16" i="2" s="1"/>
  <c r="J18" i="2" s="1"/>
  <c r="J20" i="2" s="1"/>
  <c r="J6" i="1"/>
  <c r="J9" i="1" s="1"/>
  <c r="I18" i="2" l="1"/>
  <c r="I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tc={90BD8A31-936E-4B75-A0A4-538E2731E448}</author>
  </authors>
  <commentList>
    <comment ref="N4" authorId="0" shapeId="0" xr:uid="{90BD8A31-936E-4B75-A0A4-538E2731E448}">
      <text>
        <t>[Threaded comment]
Your version of Excel allows you to read this threaded comment; however, any edits to it will get removed if the file is opened in a newer version of Excel. Learn more: https://go.microsoft.com/fwlink/?linkid=870924
Comment:
    "Net sales projected to grow 7% and 11% compared with fourth quarter 2023" Guidance</t>
      </text>
    </comment>
  </commentList>
</comments>
</file>

<file path=xl/sharedStrings.xml><?xml version="1.0" encoding="utf-8"?>
<sst xmlns="http://schemas.openxmlformats.org/spreadsheetml/2006/main" count="54" uniqueCount="48">
  <si>
    <t>Price</t>
  </si>
  <si>
    <t>Shares</t>
  </si>
  <si>
    <t>Q324</t>
  </si>
  <si>
    <t>MC</t>
  </si>
  <si>
    <t>Cash</t>
  </si>
  <si>
    <t>Debt</t>
  </si>
  <si>
    <t>EV</t>
  </si>
  <si>
    <t>As of 12/30/2024</t>
  </si>
  <si>
    <t>Main</t>
  </si>
  <si>
    <t>*in millions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</si>
  <si>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</si>
  <si>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</si>
  <si>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</si>
  <si>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</si>
  <si>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</si>
  <si>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</si>
  <si>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</si>
  <si>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</si>
  <si>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</si>
  <si>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</si>
  <si>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</si>
  <si>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Revenue</t>
  </si>
  <si>
    <t>G&amp;A</t>
  </si>
  <si>
    <t>Operating Expenses</t>
  </si>
  <si>
    <t>Taxes</t>
  </si>
  <si>
    <t>Net Income</t>
  </si>
  <si>
    <t>EPS</t>
  </si>
  <si>
    <t>Gross Margin</t>
  </si>
  <si>
    <t>AMZN</t>
  </si>
  <si>
    <t>AWS</t>
  </si>
  <si>
    <t>Amazon</t>
  </si>
  <si>
    <t>cash+marketable securities</t>
  </si>
  <si>
    <t>longterm debt</t>
  </si>
  <si>
    <t>Services</t>
  </si>
  <si>
    <t>Product</t>
  </si>
  <si>
    <t>Cost of Sales</t>
  </si>
  <si>
    <t>Fulfillment</t>
  </si>
  <si>
    <t>S&amp;M</t>
  </si>
  <si>
    <t>Interest Expense</t>
  </si>
  <si>
    <t>Pretax</t>
  </si>
  <si>
    <t>Revenue Y/Y</t>
  </si>
  <si>
    <t>Operating income</t>
  </si>
  <si>
    <t>Tech &amp; infrastructure</t>
  </si>
  <si>
    <t>Net Income Y/Y</t>
  </si>
  <si>
    <t>Growth Rate</t>
  </si>
  <si>
    <t>Discount</t>
  </si>
  <si>
    <t>NPV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</si>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</sst>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4" fillId="0" borderId="0" xfId="3" applyFont="1"/>
    <xf numFmtId="0" fontId="2" fillId="0" borderId="0" xfId="0" applyFont="1" applyAlignment="1">
      <alignment horizontal="right"/>
    </xf>
    <xf numFmtId="0" fontId="5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164" fontId="2" fillId="0" borderId="0" xfId="1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9" fontId="2" fillId="0" borderId="0" xfId="2" applyFont="1"/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41" fontId="2" fillId="0" borderId="0" xfId="1" applyNumberFormat="1" applyFont="1" applyAlignment="1">
      <alignment horizontal="right"/>
    </xf>
    <xf numFmtId="9" fontId="2" fillId="0" borderId="0" xfId="0" applyNumberFormat="1" applyFont="1"/>
    <xf numFmtId="8" fontId="2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13</xdr:col>
      <xdr:colOff>7327</xdr:colOff>
      <xdr:row>23</xdr:row>
      <xdr:rowOff>131885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1279A06-47D5-AE12-831E-BD64F28DCD7E}"/>
            </a:ext>
          </a:extLst>
        </xdr:cNvPr>
        <xdr:cNvCxnSpPr/>
      </xdr:nvCxnSpPr>
      <xdr:spPr>
        <a:xfrm flipH="1">
          <a:off x="8938846" y="183173"/>
          <a:ext cx="7327" cy="419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rek Lin" id="{5C8D4670-278D-4EFB-92B8-338A5A5207DD}" userId="S::dkl20@sfu.ca::620fe943-4695-4946-ba5b-287cc1b167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25-01-02T02:53:19.64" personId="{5C8D4670-278D-4EFB-92B8-338A5A5207DD}" id="{90BD8A31-936E-4B75-A0A4-538E2731E448}">
    <text>"Net sales projected to grow 7% and 11% compared with fourth quarter 2023"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F771-25BF-4F90-BFFA-17D1A9480900}">
  <dimension ref="B3:L9"/>
  <sheetViews>
    <sheetView zoomScale="160" zoomScaleNormal="160" workbookViewId="0">
      <selection activeCell="J7" sqref="J7"/>
    </sheetView>
  </sheetViews>
  <sheetFormatPr defaultRowHeight="14.25" x14ac:dyDescent="0.2"/>
  <cols>
    <col min="1" max="7" width="9.140625" style="1"/>
    <col min="8" max="8" width="17.5703125" style="1" customWidth="1"/>
    <col min="9" max="9" width="9.140625" style="1"/>
    <col min="10" max="10" width="14.5703125" style="1" bestFit="1" customWidth="1"/>
    <col min="11" max="16384" width="9.140625" style="1"/>
  </cols>
  <sheetData>
    <row r="3" spans="2:12" ht="15" x14ac:dyDescent="0.25">
      <c r="B3" s="5" t="s">
        <v>28</v>
      </c>
    </row>
    <row r="4" spans="2:12" x14ac:dyDescent="0.2">
      <c r="B4" s="1" t="s">
        <v>29</v>
      </c>
      <c r="I4" s="1" t="s">
        <v>0</v>
      </c>
      <c r="J4" s="1">
        <v>219.39</v>
      </c>
      <c r="K4" s="1" t="s">
        <v>7</v>
      </c>
    </row>
    <row r="5" spans="2:12" x14ac:dyDescent="0.2">
      <c r="B5" s="1" t="s">
        <v>30</v>
      </c>
      <c r="I5" s="1" t="s">
        <v>1</v>
      </c>
      <c r="J5" s="2">
        <v>10735</v>
      </c>
      <c r="K5" s="1" t="s">
        <v>2</v>
      </c>
      <c r="L5" s="1" t="s">
        <v>9</v>
      </c>
    </row>
    <row r="6" spans="2:12" x14ac:dyDescent="0.2">
      <c r="I6" s="1" t="s">
        <v>3</v>
      </c>
      <c r="J6" s="8">
        <f>J4*J5</f>
        <v>2355151.65</v>
      </c>
    </row>
    <row r="7" spans="2:12" x14ac:dyDescent="0.2">
      <c r="I7" s="1" t="s">
        <v>4</v>
      </c>
      <c r="J7" s="8">
        <f>75091+12960</f>
        <v>88051</v>
      </c>
      <c r="K7" s="1" t="s">
        <v>2</v>
      </c>
      <c r="L7" s="1" t="s">
        <v>31</v>
      </c>
    </row>
    <row r="8" spans="2:12" x14ac:dyDescent="0.2">
      <c r="I8" s="1" t="s">
        <v>5</v>
      </c>
      <c r="J8" s="8">
        <v>54890</v>
      </c>
      <c r="K8" s="1" t="s">
        <v>2</v>
      </c>
      <c r="L8" s="1" t="s">
        <v>32</v>
      </c>
    </row>
    <row r="9" spans="2:12" x14ac:dyDescent="0.2">
      <c r="I9" s="1" t="s">
        <v>6</v>
      </c>
      <c r="J9" s="8">
        <f>J6-J7+J8</f>
        <v>2321990.65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44CA-206F-41CA-9EB1-3D5BDE5EA449}">
  <dimension ref="A1:AL29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6" sqref="L26"/>
    </sheetView>
  </sheetViews>
  <sheetFormatPr defaultRowHeight="14.25" x14ac:dyDescent="0.2"/>
  <cols>
    <col min="1" max="1" width="9.140625" style="1"/>
    <col min="2" max="2" width="24.5703125" style="1" bestFit="1" customWidth="1"/>
    <col min="3" max="13" width="9.140625" style="1"/>
    <col min="14" max="14" width="10" style="1" bestFit="1" customWidth="1"/>
    <col min="15" max="19" width="9.140625" style="1"/>
    <col min="20" max="20" width="12.7109375" style="1" bestFit="1" customWidth="1"/>
    <col min="21" max="21" width="15.5703125" style="1" bestFit="1" customWidth="1"/>
    <col min="22" max="31" width="9.140625" style="1"/>
    <col min="32" max="38" width="10.5703125" style="1" bestFit="1" customWidth="1"/>
    <col min="39" max="16384" width="9.140625" style="1"/>
  </cols>
  <sheetData>
    <row r="1" spans="1:38" x14ac:dyDescent="0.2">
      <c r="A1" s="3" t="s">
        <v>8</v>
      </c>
      <c r="B1" s="1" t="s">
        <v>9</v>
      </c>
    </row>
    <row r="2" spans="1:38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</v>
      </c>
      <c r="N2" s="4" t="s">
        <v>20</v>
      </c>
      <c r="O2" s="4"/>
      <c r="S2" s="1">
        <v>2022</v>
      </c>
      <c r="T2" s="1">
        <v>2023</v>
      </c>
      <c r="U2" s="1">
        <v>2024</v>
      </c>
      <c r="V2" s="1">
        <f>U2+1</f>
        <v>2025</v>
      </c>
      <c r="W2" s="1">
        <f t="shared" ref="W2:AL2" si="0">V2+1</f>
        <v>2026</v>
      </c>
      <c r="X2" s="1">
        <f t="shared" si="0"/>
        <v>2027</v>
      </c>
      <c r="Y2" s="1">
        <f t="shared" si="0"/>
        <v>2028</v>
      </c>
      <c r="Z2" s="1">
        <f t="shared" si="0"/>
        <v>2029</v>
      </c>
      <c r="AA2" s="1">
        <f t="shared" si="0"/>
        <v>2030</v>
      </c>
      <c r="AB2" s="1">
        <f t="shared" si="0"/>
        <v>2031</v>
      </c>
      <c r="AC2" s="1">
        <f t="shared" si="0"/>
        <v>2032</v>
      </c>
      <c r="AD2" s="1">
        <f t="shared" si="0"/>
        <v>2033</v>
      </c>
      <c r="AE2" s="1">
        <f t="shared" si="0"/>
        <v>2034</v>
      </c>
      <c r="AF2" s="1">
        <f t="shared" si="0"/>
        <v>2035</v>
      </c>
      <c r="AG2" s="1">
        <f t="shared" si="0"/>
        <v>2036</v>
      </c>
      <c r="AH2" s="1">
        <f t="shared" si="0"/>
        <v>2037</v>
      </c>
      <c r="AI2" s="1">
        <f t="shared" si="0"/>
        <v>2038</v>
      </c>
      <c r="AJ2" s="1">
        <f t="shared" si="0"/>
        <v>2039</v>
      </c>
      <c r="AK2" s="1">
        <f t="shared" si="0"/>
        <v>2040</v>
      </c>
      <c r="AL2" s="1">
        <f t="shared" si="0"/>
        <v>2041</v>
      </c>
    </row>
    <row r="3" spans="1:38" x14ac:dyDescent="0.2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38" x14ac:dyDescent="0.2">
      <c r="B4" s="7" t="s">
        <v>34</v>
      </c>
      <c r="C4" s="6">
        <v>56455</v>
      </c>
      <c r="D4" s="6">
        <v>56575</v>
      </c>
      <c r="E4" s="6">
        <v>63171</v>
      </c>
      <c r="F4" s="6">
        <v>70531</v>
      </c>
      <c r="G4" s="7">
        <v>56981</v>
      </c>
      <c r="H4" s="7">
        <v>59032</v>
      </c>
      <c r="I4" s="7">
        <v>63171</v>
      </c>
      <c r="J4" s="7">
        <v>76703</v>
      </c>
      <c r="K4" s="7">
        <v>60915</v>
      </c>
      <c r="L4" s="7">
        <v>61569</v>
      </c>
      <c r="M4" s="6">
        <v>67601</v>
      </c>
      <c r="N4" s="6">
        <f>J4*1.1</f>
        <v>84373.3</v>
      </c>
      <c r="O4" s="6"/>
    </row>
    <row r="5" spans="1:38" x14ac:dyDescent="0.2">
      <c r="B5" s="7" t="s">
        <v>33</v>
      </c>
      <c r="C5" s="6">
        <v>59989</v>
      </c>
      <c r="D5" s="6">
        <v>64659</v>
      </c>
      <c r="E5" s="6">
        <v>79912</v>
      </c>
      <c r="F5" s="6">
        <v>78673</v>
      </c>
      <c r="G5" s="7">
        <v>70377</v>
      </c>
      <c r="H5" s="7">
        <v>75351</v>
      </c>
      <c r="I5" s="7">
        <v>79912</v>
      </c>
      <c r="J5" s="7">
        <v>93258</v>
      </c>
      <c r="K5" s="7">
        <v>82398</v>
      </c>
      <c r="L5" s="7">
        <v>86409</v>
      </c>
      <c r="M5" s="6">
        <v>91276</v>
      </c>
      <c r="N5" s="6">
        <f>J5*1.1</f>
        <v>102583.8</v>
      </c>
      <c r="O5" s="6"/>
    </row>
    <row r="6" spans="1:38" ht="15" x14ac:dyDescent="0.25">
      <c r="B6" s="13" t="s">
        <v>21</v>
      </c>
      <c r="C6" s="14">
        <f>C4+C5</f>
        <v>116444</v>
      </c>
      <c r="D6" s="14">
        <f>D4+D5</f>
        <v>121234</v>
      </c>
      <c r="E6" s="14">
        <f t="shared" ref="E6:J6" si="1">E4+E5</f>
        <v>143083</v>
      </c>
      <c r="F6" s="14">
        <f t="shared" si="1"/>
        <v>149204</v>
      </c>
      <c r="G6" s="14">
        <f t="shared" si="1"/>
        <v>127358</v>
      </c>
      <c r="H6" s="14">
        <f t="shared" si="1"/>
        <v>134383</v>
      </c>
      <c r="I6" s="14">
        <f t="shared" si="1"/>
        <v>143083</v>
      </c>
      <c r="J6" s="14">
        <f t="shared" si="1"/>
        <v>169961</v>
      </c>
      <c r="K6" s="14">
        <f>K4+K5</f>
        <v>143313</v>
      </c>
      <c r="L6" s="14">
        <f>L4+L5</f>
        <v>147978</v>
      </c>
      <c r="M6" s="14">
        <f>M4+M5</f>
        <v>158877</v>
      </c>
      <c r="N6" s="14">
        <f>N4+N5</f>
        <v>186957.1</v>
      </c>
      <c r="O6" s="6"/>
    </row>
    <row r="7" spans="1:38" x14ac:dyDescent="0.2">
      <c r="B7" s="7" t="s">
        <v>35</v>
      </c>
      <c r="C7" s="6">
        <v>66499</v>
      </c>
      <c r="D7" s="6">
        <v>66424</v>
      </c>
      <c r="E7" s="6">
        <v>70268</v>
      </c>
      <c r="F7" s="6">
        <v>85640</v>
      </c>
      <c r="G7" s="6">
        <v>67791</v>
      </c>
      <c r="H7" s="6">
        <v>69373</v>
      </c>
      <c r="I7" s="6">
        <v>75022</v>
      </c>
      <c r="J7" s="6">
        <v>92553</v>
      </c>
      <c r="K7" s="6">
        <v>72633</v>
      </c>
      <c r="L7" s="6">
        <v>73785</v>
      </c>
      <c r="M7" s="6">
        <v>80977</v>
      </c>
      <c r="N7" s="10"/>
      <c r="O7" s="6"/>
    </row>
    <row r="8" spans="1:38" x14ac:dyDescent="0.2">
      <c r="B8" s="7" t="s">
        <v>36</v>
      </c>
      <c r="C8" s="6">
        <v>20271</v>
      </c>
      <c r="D8" s="6">
        <v>20342</v>
      </c>
      <c r="E8" s="6">
        <v>20583</v>
      </c>
      <c r="F8" s="6">
        <v>23103</v>
      </c>
      <c r="G8" s="6">
        <v>20905</v>
      </c>
      <c r="H8" s="6">
        <v>21305</v>
      </c>
      <c r="I8" s="6">
        <v>22314</v>
      </c>
      <c r="J8" s="6">
        <v>26095</v>
      </c>
      <c r="K8" s="6">
        <v>22317</v>
      </c>
      <c r="L8" s="6">
        <v>23566</v>
      </c>
      <c r="M8" s="6">
        <v>24660</v>
      </c>
      <c r="N8" s="10"/>
      <c r="O8" s="6"/>
    </row>
    <row r="9" spans="1:38" ht="15" x14ac:dyDescent="0.25">
      <c r="B9" s="13" t="s">
        <v>27</v>
      </c>
      <c r="C9" s="6">
        <f t="shared" ref="C9:M9" si="2">C6-C7-C8</f>
        <v>29674</v>
      </c>
      <c r="D9" s="6">
        <f t="shared" si="2"/>
        <v>34468</v>
      </c>
      <c r="E9" s="6">
        <f t="shared" si="2"/>
        <v>52232</v>
      </c>
      <c r="F9" s="6">
        <f t="shared" si="2"/>
        <v>40461</v>
      </c>
      <c r="G9" s="6">
        <f t="shared" si="2"/>
        <v>38662</v>
      </c>
      <c r="H9" s="6">
        <f t="shared" si="2"/>
        <v>43705</v>
      </c>
      <c r="I9" s="6">
        <f t="shared" si="2"/>
        <v>45747</v>
      </c>
      <c r="J9" s="6">
        <f t="shared" si="2"/>
        <v>51313</v>
      </c>
      <c r="K9" s="6">
        <f t="shared" si="2"/>
        <v>48363</v>
      </c>
      <c r="L9" s="6">
        <f t="shared" si="2"/>
        <v>50627</v>
      </c>
      <c r="M9" s="6">
        <f t="shared" si="2"/>
        <v>53240</v>
      </c>
      <c r="N9" s="10"/>
      <c r="O9" s="6"/>
    </row>
    <row r="10" spans="1:38" x14ac:dyDescent="0.2">
      <c r="B10" s="7" t="s">
        <v>42</v>
      </c>
      <c r="C10" s="6">
        <v>14842</v>
      </c>
      <c r="D10" s="6">
        <v>18072</v>
      </c>
      <c r="E10" s="6">
        <v>19485</v>
      </c>
      <c r="F10" s="6">
        <v>20814</v>
      </c>
      <c r="G10" s="6">
        <v>20450</v>
      </c>
      <c r="H10" s="6">
        <v>21931</v>
      </c>
      <c r="I10" s="6">
        <v>21203</v>
      </c>
      <c r="J10" s="6">
        <v>22038</v>
      </c>
      <c r="K10" s="6">
        <v>20424</v>
      </c>
      <c r="L10" s="6">
        <v>22304</v>
      </c>
      <c r="M10" s="6">
        <v>22245</v>
      </c>
      <c r="N10" s="10"/>
      <c r="O10" s="6"/>
    </row>
    <row r="11" spans="1:38" x14ac:dyDescent="0.2">
      <c r="B11" s="7" t="s">
        <v>37</v>
      </c>
      <c r="C11" s="6">
        <v>8320</v>
      </c>
      <c r="D11" s="6">
        <v>10086</v>
      </c>
      <c r="E11" s="6">
        <v>11014</v>
      </c>
      <c r="F11" s="6">
        <v>12818</v>
      </c>
      <c r="G11" s="6">
        <v>10172</v>
      </c>
      <c r="H11" s="6">
        <v>10745</v>
      </c>
      <c r="I11" s="6">
        <v>10551</v>
      </c>
      <c r="J11" s="6">
        <v>12902</v>
      </c>
      <c r="K11" s="6">
        <v>9662</v>
      </c>
      <c r="L11" s="6">
        <v>10512</v>
      </c>
      <c r="M11" s="6">
        <v>10609</v>
      </c>
      <c r="N11" s="10"/>
      <c r="O11" s="6"/>
    </row>
    <row r="12" spans="1:38" x14ac:dyDescent="0.2">
      <c r="B12" s="7" t="s">
        <v>22</v>
      </c>
      <c r="C12" s="6">
        <v>2594</v>
      </c>
      <c r="D12" s="6">
        <v>2903</v>
      </c>
      <c r="E12" s="6">
        <v>3061</v>
      </c>
      <c r="F12" s="6">
        <v>3333</v>
      </c>
      <c r="G12" s="6">
        <v>3043</v>
      </c>
      <c r="H12" s="6">
        <v>3202</v>
      </c>
      <c r="I12" s="6">
        <v>2561</v>
      </c>
      <c r="J12" s="6">
        <v>3010</v>
      </c>
      <c r="K12" s="6">
        <v>2742</v>
      </c>
      <c r="L12" s="6">
        <f>3041+97</f>
        <v>3138</v>
      </c>
      <c r="M12" s="6">
        <v>2713</v>
      </c>
      <c r="N12" s="10"/>
      <c r="O12" s="6"/>
    </row>
    <row r="13" spans="1:38" x14ac:dyDescent="0.2">
      <c r="B13" s="7" t="s">
        <v>23</v>
      </c>
      <c r="C13" s="6">
        <f>SUM(C10:C12)</f>
        <v>25756</v>
      </c>
      <c r="D13" s="6">
        <f t="shared" ref="D13:M13" si="3">SUM(D10:D12)</f>
        <v>31061</v>
      </c>
      <c r="E13" s="6">
        <f>SUM(E10:E12)</f>
        <v>33560</v>
      </c>
      <c r="F13" s="6">
        <f>SUM(F10:F12)</f>
        <v>36965</v>
      </c>
      <c r="G13" s="6">
        <f t="shared" si="3"/>
        <v>33665</v>
      </c>
      <c r="H13" s="6">
        <f t="shared" si="3"/>
        <v>35878</v>
      </c>
      <c r="I13" s="6">
        <f>SUM(I10:I12)</f>
        <v>34315</v>
      </c>
      <c r="J13" s="6">
        <f t="shared" si="3"/>
        <v>37950</v>
      </c>
      <c r="K13" s="6">
        <f t="shared" si="3"/>
        <v>32828</v>
      </c>
      <c r="L13" s="6">
        <f t="shared" si="3"/>
        <v>35954</v>
      </c>
      <c r="M13" s="6">
        <f t="shared" si="3"/>
        <v>35567</v>
      </c>
      <c r="N13" s="10"/>
      <c r="O13" s="6"/>
    </row>
    <row r="14" spans="1:38" ht="15" x14ac:dyDescent="0.25">
      <c r="B14" s="13" t="s">
        <v>41</v>
      </c>
      <c r="C14" s="6">
        <f t="shared" ref="C14:M14" si="4">C9-C13</f>
        <v>3918</v>
      </c>
      <c r="D14" s="6">
        <f t="shared" si="4"/>
        <v>3407</v>
      </c>
      <c r="E14" s="6">
        <f t="shared" si="4"/>
        <v>18672</v>
      </c>
      <c r="F14" s="6">
        <f t="shared" si="4"/>
        <v>3496</v>
      </c>
      <c r="G14" s="6">
        <f t="shared" si="4"/>
        <v>4997</v>
      </c>
      <c r="H14" s="6">
        <f t="shared" si="4"/>
        <v>7827</v>
      </c>
      <c r="I14" s="6">
        <f t="shared" si="4"/>
        <v>11432</v>
      </c>
      <c r="J14" s="6">
        <f t="shared" si="4"/>
        <v>13363</v>
      </c>
      <c r="K14" s="6">
        <f t="shared" si="4"/>
        <v>15535</v>
      </c>
      <c r="L14" s="6">
        <f t="shared" si="4"/>
        <v>14673</v>
      </c>
      <c r="M14" s="6">
        <f t="shared" si="4"/>
        <v>17673</v>
      </c>
      <c r="N14" s="10"/>
      <c r="O14" s="6"/>
    </row>
    <row r="15" spans="1:38" x14ac:dyDescent="0.2">
      <c r="B15" s="7" t="s">
        <v>38</v>
      </c>
      <c r="C15" s="6">
        <f>-249+108-472-8570</f>
        <v>-9183</v>
      </c>
      <c r="D15" s="6">
        <f>159-584</f>
        <v>-425</v>
      </c>
      <c r="E15" s="6">
        <f>-165+277-617+759</f>
        <v>254</v>
      </c>
      <c r="F15" s="6">
        <f>445-694</f>
        <v>-249</v>
      </c>
      <c r="G15" s="7">
        <f>-223+611-823-443</f>
        <v>-878</v>
      </c>
      <c r="H15" s="7">
        <f>-146+661-840+61</f>
        <v>-264</v>
      </c>
      <c r="I15" s="7">
        <f>-244+776-806+1031</f>
        <v>757</v>
      </c>
      <c r="J15" s="7">
        <f>-154+901-713+289</f>
        <v>323</v>
      </c>
      <c r="K15" s="7">
        <f>-228+993-644-2673</f>
        <v>-2552</v>
      </c>
      <c r="L15" s="7">
        <f>1180-589-18</f>
        <v>573</v>
      </c>
      <c r="M15" s="6">
        <f>1256-603-27</f>
        <v>626</v>
      </c>
      <c r="N15" s="10"/>
      <c r="O15" s="6"/>
    </row>
    <row r="16" spans="1:38" x14ac:dyDescent="0.2">
      <c r="B16" s="7" t="s">
        <v>39</v>
      </c>
      <c r="C16" s="6">
        <f t="shared" ref="C16:K16" si="5">C14+C15</f>
        <v>-5265</v>
      </c>
      <c r="D16" s="6">
        <f t="shared" si="5"/>
        <v>2982</v>
      </c>
      <c r="E16" s="6">
        <f t="shared" si="5"/>
        <v>18926</v>
      </c>
      <c r="F16" s="6">
        <f t="shared" si="5"/>
        <v>3247</v>
      </c>
      <c r="G16" s="6">
        <f t="shared" si="5"/>
        <v>4119</v>
      </c>
      <c r="H16" s="6">
        <f t="shared" si="5"/>
        <v>7563</v>
      </c>
      <c r="I16" s="6">
        <f>I14+I15</f>
        <v>12189</v>
      </c>
      <c r="J16" s="6">
        <f t="shared" si="5"/>
        <v>13686</v>
      </c>
      <c r="K16" s="6">
        <f t="shared" si="5"/>
        <v>12983</v>
      </c>
      <c r="L16" s="6">
        <f>L14+L15</f>
        <v>15246</v>
      </c>
      <c r="M16" s="6">
        <f>M14+M15</f>
        <v>18299</v>
      </c>
      <c r="N16" s="9"/>
    </row>
    <row r="17" spans="2:38" x14ac:dyDescent="0.2">
      <c r="B17" s="7" t="s">
        <v>24</v>
      </c>
      <c r="C17" s="6">
        <f>-1422+1</f>
        <v>-1421</v>
      </c>
      <c r="D17" s="6">
        <v>0</v>
      </c>
      <c r="E17" s="6">
        <f>69+3</f>
        <v>72</v>
      </c>
      <c r="F17" s="6">
        <v>0</v>
      </c>
      <c r="G17" s="6">
        <f>948-1</f>
        <v>947</v>
      </c>
      <c r="H17" s="6">
        <f>804+9</f>
        <v>813</v>
      </c>
      <c r="I17" s="6">
        <f>2306+4</f>
        <v>2310</v>
      </c>
      <c r="J17" s="6">
        <v>3062</v>
      </c>
      <c r="K17" s="6">
        <f>2467+85</f>
        <v>2552</v>
      </c>
      <c r="L17" s="6">
        <f>1767-7</f>
        <v>1760</v>
      </c>
      <c r="M17" s="6">
        <f>2707+3</f>
        <v>2710</v>
      </c>
      <c r="N17" s="9"/>
    </row>
    <row r="18" spans="2:38" ht="15" x14ac:dyDescent="0.25">
      <c r="B18" s="13" t="s">
        <v>25</v>
      </c>
      <c r="C18" s="14">
        <f t="shared" ref="C18:L18" si="6">C16-C17</f>
        <v>-3844</v>
      </c>
      <c r="D18" s="14">
        <f t="shared" si="6"/>
        <v>2982</v>
      </c>
      <c r="E18" s="14">
        <f t="shared" si="6"/>
        <v>18854</v>
      </c>
      <c r="F18" s="14">
        <f t="shared" si="6"/>
        <v>3247</v>
      </c>
      <c r="G18" s="14">
        <f t="shared" si="6"/>
        <v>3172</v>
      </c>
      <c r="H18" s="14">
        <f t="shared" si="6"/>
        <v>6750</v>
      </c>
      <c r="I18" s="14">
        <f>I16-I17</f>
        <v>9879</v>
      </c>
      <c r="J18" s="14">
        <f t="shared" si="6"/>
        <v>10624</v>
      </c>
      <c r="K18" s="14">
        <f t="shared" si="6"/>
        <v>10431</v>
      </c>
      <c r="L18" s="14">
        <f t="shared" si="6"/>
        <v>13486</v>
      </c>
      <c r="M18" s="14">
        <f>M16-M17</f>
        <v>15589</v>
      </c>
      <c r="N18" s="13">
        <f>M18*1.15</f>
        <v>17927.349999999999</v>
      </c>
    </row>
    <row r="19" spans="2:38" x14ac:dyDescent="0.2">
      <c r="B19" s="7" t="s">
        <v>1</v>
      </c>
      <c r="C19" s="4">
        <v>509</v>
      </c>
      <c r="D19" s="6">
        <v>10175</v>
      </c>
      <c r="E19" s="6">
        <v>10331</v>
      </c>
      <c r="F19" s="6">
        <v>10308</v>
      </c>
      <c r="G19" s="6">
        <v>10347</v>
      </c>
      <c r="H19" s="6">
        <v>10449</v>
      </c>
      <c r="I19" s="6">
        <v>10558</v>
      </c>
      <c r="J19" s="6">
        <v>10610</v>
      </c>
      <c r="K19" s="6">
        <v>10670</v>
      </c>
      <c r="L19" s="6">
        <v>10708</v>
      </c>
      <c r="M19" s="15">
        <v>10735</v>
      </c>
      <c r="N19" s="9"/>
      <c r="S19" s="7">
        <f>SUM(C18:F18)</f>
        <v>21239</v>
      </c>
      <c r="T19" s="7">
        <f>SUM(G18:J18)</f>
        <v>30425</v>
      </c>
      <c r="U19" s="7">
        <f>SUM(K18:N18)</f>
        <v>57433.35</v>
      </c>
      <c r="V19" s="7">
        <f>U19*(1+$U$26)</f>
        <v>66048.352499999994</v>
      </c>
      <c r="W19" s="7">
        <f t="shared" ref="W19:AL19" si="7">V19*(1+$U$26)</f>
        <v>75955.605374999985</v>
      </c>
      <c r="X19" s="7">
        <f t="shared" si="7"/>
        <v>87348.946181249979</v>
      </c>
      <c r="Y19" s="7">
        <f t="shared" si="7"/>
        <v>100451.28810843747</v>
      </c>
      <c r="Z19" s="7">
        <f t="shared" si="7"/>
        <v>115518.98132470308</v>
      </c>
      <c r="AA19" s="7">
        <f t="shared" si="7"/>
        <v>132846.82852340853</v>
      </c>
      <c r="AB19" s="7">
        <f t="shared" si="7"/>
        <v>152773.8528019198</v>
      </c>
      <c r="AC19" s="7">
        <f t="shared" si="7"/>
        <v>175689.93072220776</v>
      </c>
      <c r="AD19" s="7">
        <f t="shared" si="7"/>
        <v>202043.42033053891</v>
      </c>
      <c r="AE19" s="7">
        <f t="shared" si="7"/>
        <v>232349.93338011974</v>
      </c>
      <c r="AF19" s="7">
        <f t="shared" si="7"/>
        <v>267202.42338713765</v>
      </c>
      <c r="AG19" s="7">
        <f t="shared" si="7"/>
        <v>307282.78689520829</v>
      </c>
      <c r="AH19" s="7">
        <f t="shared" si="7"/>
        <v>353375.20492948953</v>
      </c>
      <c r="AI19" s="7">
        <f t="shared" si="7"/>
        <v>406381.48566891294</v>
      </c>
      <c r="AJ19" s="7">
        <f t="shared" si="7"/>
        <v>467338.70851924986</v>
      </c>
      <c r="AK19" s="7">
        <f t="shared" si="7"/>
        <v>537439.51479713735</v>
      </c>
      <c r="AL19" s="7">
        <f t="shared" si="7"/>
        <v>618055.44201670785</v>
      </c>
    </row>
    <row r="20" spans="2:38" x14ac:dyDescent="0.2">
      <c r="B20" s="7" t="s">
        <v>26</v>
      </c>
      <c r="C20" s="11">
        <f t="shared" ref="C20:M20" si="8">C18/C19</f>
        <v>-7.5520628683693518</v>
      </c>
      <c r="D20" s="11">
        <f t="shared" si="8"/>
        <v>0.29307125307125309</v>
      </c>
      <c r="E20" s="11">
        <f t="shared" si="8"/>
        <v>1.8249927402961958</v>
      </c>
      <c r="F20" s="11">
        <f t="shared" si="8"/>
        <v>0.31499805975941014</v>
      </c>
      <c r="G20" s="11">
        <f t="shared" si="8"/>
        <v>0.3065622885860636</v>
      </c>
      <c r="H20" s="11">
        <f t="shared" si="8"/>
        <v>0.64599483204134367</v>
      </c>
      <c r="I20" s="11">
        <f t="shared" si="8"/>
        <v>0.93568857738207989</v>
      </c>
      <c r="J20" s="11">
        <f t="shared" si="8"/>
        <v>1.0013195098963241</v>
      </c>
      <c r="K20" s="11">
        <f t="shared" si="8"/>
        <v>0.97760074976569822</v>
      </c>
      <c r="L20" s="11">
        <f t="shared" si="8"/>
        <v>1.2594322002241314</v>
      </c>
      <c r="M20" s="11">
        <f t="shared" si="8"/>
        <v>1.4521658127619934</v>
      </c>
      <c r="N20" s="9"/>
    </row>
    <row r="21" spans="2:38" x14ac:dyDescent="0.2">
      <c r="N21" s="9"/>
    </row>
    <row r="22" spans="2:38" x14ac:dyDescent="0.2">
      <c r="B22" s="1" t="s">
        <v>40</v>
      </c>
      <c r="G22" s="12">
        <f>G6/C6-1</f>
        <v>9.3727456975026602E-2</v>
      </c>
      <c r="H22" s="12">
        <f>H6/D6-1</f>
        <v>0.10845967302901816</v>
      </c>
      <c r="I22" s="12">
        <f t="shared" ref="I22:K22" si="9">I6/E6-1</f>
        <v>0</v>
      </c>
      <c r="J22" s="12">
        <f t="shared" si="9"/>
        <v>0.13911825420230017</v>
      </c>
      <c r="K22" s="12">
        <f t="shared" si="9"/>
        <v>0.12527677884388888</v>
      </c>
      <c r="L22" s="12">
        <f>L6/H6-1</f>
        <v>0.10116607011303502</v>
      </c>
      <c r="M22" s="12">
        <f>M6/I6-1</f>
        <v>0.11038348371225104</v>
      </c>
    </row>
    <row r="23" spans="2:38" x14ac:dyDescent="0.2">
      <c r="B23" s="1" t="s">
        <v>27</v>
      </c>
      <c r="C23" s="12">
        <f>C9/C6</f>
        <v>0.25483494211809971</v>
      </c>
      <c r="D23" s="12">
        <f t="shared" ref="D23:M23" si="10">D9/D6</f>
        <v>0.2843096821023805</v>
      </c>
      <c r="E23" s="12">
        <f t="shared" si="10"/>
        <v>0.36504686091289673</v>
      </c>
      <c r="F23" s="12">
        <f t="shared" si="10"/>
        <v>0.27117905686174631</v>
      </c>
      <c r="G23" s="12">
        <f t="shared" si="10"/>
        <v>0.30356946560090453</v>
      </c>
      <c r="H23" s="12">
        <f t="shared" si="10"/>
        <v>0.32522714926739243</v>
      </c>
      <c r="I23" s="12">
        <f t="shared" si="10"/>
        <v>0.3197235171194342</v>
      </c>
      <c r="J23" s="12">
        <f t="shared" si="10"/>
        <v>0.30191043827701647</v>
      </c>
      <c r="K23" s="12">
        <f t="shared" si="10"/>
        <v>0.33746415189131479</v>
      </c>
      <c r="L23" s="12">
        <f t="shared" si="10"/>
        <v>0.3421251807701145</v>
      </c>
      <c r="M23" s="12">
        <f t="shared" si="10"/>
        <v>0.33510199714244354</v>
      </c>
      <c r="T23" s="12">
        <f>T19/S19-1</f>
        <v>0.43250623852347103</v>
      </c>
      <c r="U23" s="12">
        <f>U19/T19-1</f>
        <v>0.88770254724732944</v>
      </c>
    </row>
    <row r="24" spans="2:38" x14ac:dyDescent="0.2">
      <c r="B24" s="1" t="s">
        <v>43</v>
      </c>
      <c r="G24" s="12">
        <f>G18/C18-1</f>
        <v>-1.8251821019771071</v>
      </c>
      <c r="H24" s="12">
        <f t="shared" ref="H24:M24" si="11">H18/D18-1</f>
        <v>1.2635814889336014</v>
      </c>
      <c r="I24" s="12">
        <f t="shared" si="11"/>
        <v>-0.47602630741487217</v>
      </c>
      <c r="J24" s="12">
        <f t="shared" si="11"/>
        <v>2.2719433323067446</v>
      </c>
      <c r="K24" s="12">
        <f t="shared" si="11"/>
        <v>2.2884615384615383</v>
      </c>
      <c r="L24" s="12">
        <f>L18/H18-1</f>
        <v>0.99792592592592588</v>
      </c>
      <c r="M24" s="12">
        <f t="shared" si="11"/>
        <v>0.57799372406113969</v>
      </c>
      <c r="S24" s="12"/>
      <c r="T24" s="12"/>
      <c r="U24" s="12"/>
    </row>
    <row r="26" spans="2:38" ht="15" x14ac:dyDescent="0.25">
      <c r="B26" s="5"/>
      <c r="T26" s="1" t="s">
        <v>44</v>
      </c>
      <c r="U26" s="16">
        <v>0.15</v>
      </c>
    </row>
    <row r="27" spans="2:38" x14ac:dyDescent="0.2">
      <c r="T27" s="1" t="s">
        <v>45</v>
      </c>
      <c r="U27" s="16">
        <v>0.08</v>
      </c>
    </row>
    <row r="28" spans="2:38" x14ac:dyDescent="0.2">
      <c r="T28" s="1" t="s">
        <v>46</v>
      </c>
      <c r="U28" s="17">
        <f>NPV(U27,V19:AL19)+Main!J7-Main!J8</f>
        <v>1833861.3312330127</v>
      </c>
    </row>
    <row r="29" spans="2:38" x14ac:dyDescent="0.2">
      <c r="T29" s="1" t="s">
        <v>47</v>
      </c>
      <c r="U29" s="17">
        <f>U28/Main!J5</f>
        <v>170.83011935100259</v>
      </c>
    </row>
  </sheetData>
  <hyperlinks>
    <hyperlink ref="A1" location="Main!A1" display="Main" xr:uid="{41B1E2FC-2F75-4186-9BD3-F747AD109BF2}"/>
  </hyperlink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46C4E9336FC740B91BCDE15FA88619" ma:contentTypeVersion="15" ma:contentTypeDescription="Create a new document." ma:contentTypeScope="" ma:versionID="b6e02517d475dfd152f3aeffe8c3a637">
  <xsd:schema xmlns:xsd="http://www.w3.org/2001/XMLSchema" xmlns:xs="http://www.w3.org/2001/XMLSchema" xmlns:p="http://schemas.microsoft.com/office/2006/metadata/properties" xmlns:ns3="6bd55854-9592-42ac-9594-073dfb38ade9" xmlns:ns4="0ab360ca-0c29-40d4-9467-1b89a5d3a211" targetNamespace="http://schemas.microsoft.com/office/2006/metadata/properties" ma:root="true" ma:fieldsID="b65b7edf306378759833d3839183e961" ns3:_="" ns4:_="">
    <xsd:import namespace="6bd55854-9592-42ac-9594-073dfb38ade9"/>
    <xsd:import namespace="0ab360ca-0c29-40d4-9467-1b89a5d3a2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d55854-9592-42ac-9594-073dfb38a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b360ca-0c29-40d4-9467-1b89a5d3a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d55854-9592-42ac-9594-073dfb38ade9" xsi:nil="true"/>
  </documentManagement>
</p:properties>
</file>

<file path=customXml/itemProps1.xml><?xml version="1.0" encoding="utf-8"?>
<ds:datastoreItem xmlns:ds="http://schemas.openxmlformats.org/officeDocument/2006/customXml" ds:itemID="{3E60AF4C-F354-4910-A994-F8F10662AC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A73BD7-8B1E-492B-BCB1-0CD91EC60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d55854-9592-42ac-9594-073dfb38ade9"/>
    <ds:schemaRef ds:uri="0ab360ca-0c29-40d4-9467-1b89a5d3a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641247-B51F-46E1-BA96-EFC18FF375F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0ab360ca-0c29-40d4-9467-1b89a5d3a211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6bd55854-9592-42ac-9594-073dfb38ade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Lin</dc:creator>
  <cp:lastModifiedBy>Derek Lin</cp:lastModifiedBy>
  <dcterms:created xsi:type="dcterms:W3CDTF">2024-12-30T23:32:53Z</dcterms:created>
  <dcterms:modified xsi:type="dcterms:W3CDTF">2025-01-02T07:10:33Z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0x0101008146C4E9336FC740B91BCDE15FA88619</vt:lpwstr>
  </property>
</Properties>
</file>