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https://aerisinsight-my.sharepoint.com/personal/jschwartz_aerisinsight_com/Documents/"/>
    </mc:Choice>
  </mc:AlternateContent>
  <xr:revisionPtr revIDLastSave="0" documentId="8_{D4640FB4-76CB-42E8-9162-E8DFAB6B160A}" xr6:coauthVersionLast="47" xr6:coauthVersionMax="47" xr10:uidLastSave="{00000000-0000-0000-0000-000000000000}"/>
  <bookViews>
    <workbookView xWindow="-120" yWindow="-120" windowWidth="29040" windowHeight="15840" xr2:uid="{00000000-000D-0000-FFFF-FFFF00000000}"/>
  </bookViews>
  <sheets>
    <sheet name="INPUT" sheetId="6" r:id="rId1"/>
    <sheet name="Stmt Position" sheetId="2" r:id="rId2"/>
    <sheet name="Stmt Activities" sheetId="3" r:id="rId3"/>
    <sheet name="Ratios " sheetId="8" state="hidden" r:id="rId4"/>
    <sheet name="Sum" sheetId="1" r:id="rId5"/>
    <sheet name="B of A Ratios" sheetId="7" state="hidden" r:id="rId6"/>
    <sheet name="covenants" sheetId="9" state="hidden" r:id="rId7"/>
    <sheet name="Graphs NEW" sheetId="12" r:id="rId8"/>
    <sheet name="Graphs" sheetId="11" state="hidden" r:id="rId9"/>
    <sheet name="Definitions" sheetId="5" state="hidden" r:id="rId10"/>
  </sheets>
  <definedNames>
    <definedName name="_xlnm.Print_Area" localSheetId="3">'Ratios '!$B$1:$R$78</definedName>
    <definedName name="_xlnm.Print_Area" localSheetId="2">'Stmt Activities'!$A$1:$M$72</definedName>
    <definedName name="_xlnm.Print_Area" localSheetId="1">'Stmt Position'!$A$1:$L$83</definedName>
    <definedName name="_xlnm.Print_Area" localSheetId="4">Sum!$A$2:$N$139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1" i="6" l="1"/>
  <c r="C52" i="6"/>
  <c r="G38" i="2" l="1"/>
  <c r="I93" i="6"/>
  <c r="G17" i="2"/>
  <c r="E17" i="2"/>
  <c r="E14" i="2"/>
  <c r="E12" i="2"/>
  <c r="E11" i="2"/>
  <c r="E10" i="2"/>
  <c r="E9" i="2"/>
  <c r="E8" i="2"/>
  <c r="E7" i="2"/>
  <c r="G14" i="2"/>
  <c r="G12" i="2"/>
  <c r="G11" i="2"/>
  <c r="G10" i="2"/>
  <c r="G9" i="2"/>
  <c r="G8" i="2"/>
  <c r="G7" i="2"/>
  <c r="G63" i="2"/>
  <c r="G62" i="2"/>
  <c r="G61" i="2"/>
  <c r="G60" i="2"/>
  <c r="G59" i="2"/>
  <c r="G58" i="2"/>
  <c r="G57" i="2"/>
  <c r="G56" i="2"/>
  <c r="G50" i="2"/>
  <c r="G49" i="2"/>
  <c r="G48" i="2"/>
  <c r="G47" i="2"/>
  <c r="G46" i="2"/>
  <c r="G42" i="2"/>
  <c r="G41" i="2"/>
  <c r="G40" i="2"/>
  <c r="G39" i="2"/>
  <c r="G37" i="2"/>
  <c r="G29" i="2"/>
  <c r="G28" i="2"/>
  <c r="G27" i="2"/>
  <c r="G26" i="2"/>
  <c r="G25" i="2"/>
  <c r="G23" i="2"/>
  <c r="G22" i="2"/>
  <c r="G21" i="2"/>
  <c r="G146" i="6"/>
  <c r="G24" i="2" l="1"/>
  <c r="G30" i="2"/>
  <c r="G43" i="2"/>
  <c r="G64" i="2"/>
  <c r="G51" i="2"/>
  <c r="E13" i="2"/>
  <c r="G147" i="6"/>
  <c r="G18" i="6" l="1"/>
  <c r="G13" i="2"/>
  <c r="G15" i="2" s="1"/>
  <c r="G18" i="2" s="1"/>
  <c r="G32" i="2" s="1"/>
  <c r="G53" i="2"/>
  <c r="G66" i="2" s="1"/>
  <c r="E18" i="6"/>
  <c r="E29" i="6" s="1"/>
  <c r="C13" i="2"/>
  <c r="M114" i="1"/>
  <c r="M113" i="1"/>
  <c r="K114" i="1"/>
  <c r="K113" i="1"/>
  <c r="I114" i="1"/>
  <c r="I113" i="1"/>
  <c r="G114" i="1"/>
  <c r="G113" i="1"/>
  <c r="E114" i="1"/>
  <c r="E113" i="1"/>
  <c r="C114" i="1"/>
  <c r="C113" i="1"/>
  <c r="K311" i="12"/>
  <c r="I311" i="12"/>
  <c r="G311" i="12"/>
  <c r="E311" i="12"/>
  <c r="C311" i="12"/>
  <c r="O255" i="12"/>
  <c r="M255" i="12"/>
  <c r="K255" i="12"/>
  <c r="I255" i="12"/>
  <c r="G255" i="12"/>
  <c r="E255" i="12"/>
  <c r="C255" i="12"/>
  <c r="K27" i="2"/>
  <c r="I27" i="2"/>
  <c r="E27" i="2"/>
  <c r="C27" i="2"/>
  <c r="B27" i="2"/>
  <c r="M209" i="12"/>
  <c r="M208" i="12"/>
  <c r="M207" i="12"/>
  <c r="M206" i="12"/>
  <c r="M205" i="12"/>
  <c r="M204" i="12"/>
  <c r="K209" i="12"/>
  <c r="K208" i="12"/>
  <c r="K207" i="12"/>
  <c r="K206" i="12"/>
  <c r="K205" i="12"/>
  <c r="K204" i="12"/>
  <c r="I209" i="12"/>
  <c r="I208" i="12"/>
  <c r="I207" i="12"/>
  <c r="I206" i="12"/>
  <c r="I205" i="12"/>
  <c r="I204" i="12"/>
  <c r="G209" i="12"/>
  <c r="G208" i="12"/>
  <c r="G207" i="12"/>
  <c r="G206" i="12"/>
  <c r="G205" i="12"/>
  <c r="G204" i="12"/>
  <c r="E209" i="12"/>
  <c r="E208" i="12"/>
  <c r="E207" i="12"/>
  <c r="E206" i="12"/>
  <c r="E205" i="12"/>
  <c r="E204" i="12"/>
  <c r="C209" i="12"/>
  <c r="C208" i="12"/>
  <c r="C207" i="12"/>
  <c r="C206" i="12"/>
  <c r="C205" i="12"/>
  <c r="C204" i="12"/>
  <c r="K345" i="12"/>
  <c r="I345" i="12"/>
  <c r="G345" i="12"/>
  <c r="E345" i="12"/>
  <c r="C345" i="12"/>
  <c r="E298" i="12"/>
  <c r="E297" i="12"/>
  <c r="E296" i="12"/>
  <c r="E295" i="12"/>
  <c r="E294" i="12"/>
  <c r="E293" i="12"/>
  <c r="B298" i="12"/>
  <c r="B297" i="12"/>
  <c r="B296" i="12"/>
  <c r="B295" i="12"/>
  <c r="B294" i="12"/>
  <c r="B293" i="12"/>
  <c r="I298" i="12"/>
  <c r="K298" i="12" s="1"/>
  <c r="I297" i="12"/>
  <c r="I296" i="12"/>
  <c r="K296" i="12" s="1"/>
  <c r="I295" i="12"/>
  <c r="K295" i="12" s="1"/>
  <c r="I294" i="12"/>
  <c r="K294" i="12" s="1"/>
  <c r="I293" i="12"/>
  <c r="C298" i="12"/>
  <c r="C297" i="12"/>
  <c r="C296" i="12"/>
  <c r="C295" i="12"/>
  <c r="C294" i="12"/>
  <c r="C293" i="12"/>
  <c r="B287" i="12"/>
  <c r="B286" i="12"/>
  <c r="B285" i="12"/>
  <c r="B284" i="12"/>
  <c r="B283" i="12"/>
  <c r="B282" i="12"/>
  <c r="M249" i="12"/>
  <c r="K249" i="12"/>
  <c r="I249" i="12"/>
  <c r="G249" i="12"/>
  <c r="E249" i="12"/>
  <c r="C249" i="12"/>
  <c r="M251" i="12"/>
  <c r="K251" i="12"/>
  <c r="I251" i="12"/>
  <c r="G251" i="12"/>
  <c r="E251" i="12"/>
  <c r="C253" i="12"/>
  <c r="C251" i="12"/>
  <c r="B127" i="12"/>
  <c r="B126" i="12"/>
  <c r="B125" i="12"/>
  <c r="B124" i="12"/>
  <c r="B123" i="12"/>
  <c r="C127" i="12"/>
  <c r="C126" i="12"/>
  <c r="C125" i="12"/>
  <c r="C124" i="12"/>
  <c r="C123" i="12"/>
  <c r="O256" i="12"/>
  <c r="O247" i="12"/>
  <c r="O242" i="12"/>
  <c r="K116" i="12"/>
  <c r="K115" i="12"/>
  <c r="K114" i="12"/>
  <c r="K113" i="12"/>
  <c r="I116" i="12"/>
  <c r="I115" i="12"/>
  <c r="I114" i="12"/>
  <c r="I113" i="12"/>
  <c r="E116" i="12"/>
  <c r="E115" i="12"/>
  <c r="E117" i="12" s="1"/>
  <c r="K117" i="12" s="1"/>
  <c r="E114" i="12"/>
  <c r="E113" i="12"/>
  <c r="C116" i="12"/>
  <c r="C115" i="12"/>
  <c r="C114" i="12"/>
  <c r="C113" i="12"/>
  <c r="B116" i="12"/>
  <c r="B115" i="12"/>
  <c r="B114" i="12"/>
  <c r="B113" i="12"/>
  <c r="B112" i="12"/>
  <c r="I136" i="12"/>
  <c r="I135" i="12"/>
  <c r="I134" i="12"/>
  <c r="I133" i="12"/>
  <c r="B136" i="12"/>
  <c r="B135" i="12"/>
  <c r="B134" i="12"/>
  <c r="B133" i="12"/>
  <c r="B132" i="12"/>
  <c r="E136" i="12"/>
  <c r="E135" i="12"/>
  <c r="I132" i="12"/>
  <c r="L288" i="12"/>
  <c r="J288" i="12"/>
  <c r="H288" i="12"/>
  <c r="F288" i="12"/>
  <c r="L203" i="12"/>
  <c r="L281" i="12" s="1"/>
  <c r="K166" i="12"/>
  <c r="K203" i="12" s="1"/>
  <c r="K281" i="12" s="1"/>
  <c r="J166" i="12"/>
  <c r="J203" i="12" s="1"/>
  <c r="J281" i="12" s="1"/>
  <c r="J345" i="12" s="1"/>
  <c r="J376" i="12" s="1"/>
  <c r="I166" i="12"/>
  <c r="I203" i="12" s="1"/>
  <c r="I281" i="12" s="1"/>
  <c r="I376" i="12" s="1"/>
  <c r="H166" i="12"/>
  <c r="H203" i="12" s="1"/>
  <c r="H281" i="12" s="1"/>
  <c r="H345" i="12" s="1"/>
  <c r="H376" i="12" s="1"/>
  <c r="G166" i="12"/>
  <c r="G203" i="12" s="1"/>
  <c r="G281" i="12" s="1"/>
  <c r="G376" i="12" s="1"/>
  <c r="F166" i="12"/>
  <c r="F203" i="12" s="1"/>
  <c r="F281" i="12" s="1"/>
  <c r="F345" i="12" s="1"/>
  <c r="F376" i="12" s="1"/>
  <c r="E166" i="12"/>
  <c r="E203" i="12" s="1"/>
  <c r="E281" i="12" s="1"/>
  <c r="E376" i="12" s="1"/>
  <c r="C166" i="12"/>
  <c r="C203" i="12" s="1"/>
  <c r="C281" i="12" s="1"/>
  <c r="K86" i="12"/>
  <c r="J86" i="12"/>
  <c r="I86" i="12"/>
  <c r="H86" i="12"/>
  <c r="G86" i="12"/>
  <c r="F86" i="12"/>
  <c r="E86" i="12"/>
  <c r="C86" i="12"/>
  <c r="C10" i="2"/>
  <c r="K56" i="2"/>
  <c r="K57" i="2"/>
  <c r="K58" i="2"/>
  <c r="K14" i="2"/>
  <c r="K23" i="2"/>
  <c r="K13" i="2"/>
  <c r="K22" i="2"/>
  <c r="I56" i="2"/>
  <c r="I57" i="2"/>
  <c r="I58" i="2"/>
  <c r="I14" i="2"/>
  <c r="I23" i="2"/>
  <c r="I13" i="2"/>
  <c r="I22" i="2"/>
  <c r="I8" i="1"/>
  <c r="I87" i="12" s="1"/>
  <c r="E56" i="2"/>
  <c r="E57" i="2"/>
  <c r="E58" i="2"/>
  <c r="E23" i="2"/>
  <c r="E22" i="2"/>
  <c r="C56" i="2"/>
  <c r="C57" i="2"/>
  <c r="C58" i="2"/>
  <c r="C14" i="2"/>
  <c r="C23" i="2"/>
  <c r="C22" i="2"/>
  <c r="C83" i="1"/>
  <c r="E83" i="1"/>
  <c r="G83" i="1"/>
  <c r="I83" i="1"/>
  <c r="K61" i="2"/>
  <c r="I61" i="2"/>
  <c r="I103" i="1"/>
  <c r="E61" i="2"/>
  <c r="C61" i="2"/>
  <c r="K38" i="2"/>
  <c r="K46" i="2"/>
  <c r="K47" i="2"/>
  <c r="M18" i="1" s="1"/>
  <c r="K48" i="2"/>
  <c r="M19" i="1" s="1"/>
  <c r="E134" i="12"/>
  <c r="E133" i="12"/>
  <c r="E132" i="12"/>
  <c r="C34" i="3"/>
  <c r="C381" i="12" s="1"/>
  <c r="C35" i="3"/>
  <c r="C378" i="12" s="1"/>
  <c r="C36" i="3"/>
  <c r="C37" i="3"/>
  <c r="C186" i="11" s="1"/>
  <c r="C38" i="3"/>
  <c r="C187" i="11" s="1"/>
  <c r="C39" i="3"/>
  <c r="C52" i="1" s="1"/>
  <c r="C11" i="3"/>
  <c r="C380" i="12" s="1"/>
  <c r="C13" i="3"/>
  <c r="C379" i="12" s="1"/>
  <c r="E34" i="3"/>
  <c r="E381" i="12" s="1"/>
  <c r="E35" i="3"/>
  <c r="E378" i="12" s="1"/>
  <c r="E36" i="3"/>
  <c r="E37" i="3"/>
  <c r="E186" i="11" s="1"/>
  <c r="E38" i="3"/>
  <c r="E377" i="12" s="1"/>
  <c r="E39" i="3"/>
  <c r="E52" i="1" s="1"/>
  <c r="E11" i="3"/>
  <c r="E380" i="12" s="1"/>
  <c r="E13" i="3"/>
  <c r="E379" i="12" s="1"/>
  <c r="K60" i="2"/>
  <c r="M87" i="1" s="1"/>
  <c r="K63" i="2"/>
  <c r="M88" i="1" s="1"/>
  <c r="I38" i="2"/>
  <c r="I46" i="2"/>
  <c r="I47" i="2"/>
  <c r="K18" i="1" s="1"/>
  <c r="I48" i="2"/>
  <c r="K19" i="1" s="1"/>
  <c r="I60" i="2"/>
  <c r="K87" i="1" s="1"/>
  <c r="I63" i="2"/>
  <c r="K88" i="1" s="1"/>
  <c r="G16" i="8"/>
  <c r="I19" i="1"/>
  <c r="I87" i="1"/>
  <c r="I10" i="1"/>
  <c r="G18" i="1"/>
  <c r="G19" i="1"/>
  <c r="G87" i="1"/>
  <c r="G10" i="1"/>
  <c r="E38" i="2"/>
  <c r="E46" i="2"/>
  <c r="E47" i="2"/>
  <c r="E18" i="1" s="1"/>
  <c r="E48" i="2"/>
  <c r="E19" i="1" s="1"/>
  <c r="E60" i="2"/>
  <c r="E87" i="1" s="1"/>
  <c r="E63" i="2"/>
  <c r="E88" i="1" s="1"/>
  <c r="C38" i="2"/>
  <c r="C46" i="2"/>
  <c r="C47" i="2"/>
  <c r="C18" i="1" s="1"/>
  <c r="C48" i="2"/>
  <c r="C19" i="1" s="1"/>
  <c r="C60" i="2"/>
  <c r="C87" i="1" s="1"/>
  <c r="C63" i="2"/>
  <c r="C88" i="1" s="1"/>
  <c r="K49" i="3"/>
  <c r="K50" i="3"/>
  <c r="K51" i="3"/>
  <c r="K52" i="3"/>
  <c r="I49" i="3"/>
  <c r="I50" i="3"/>
  <c r="I51" i="3"/>
  <c r="I52" i="3"/>
  <c r="E26" i="3"/>
  <c r="E27" i="3"/>
  <c r="E28" i="3"/>
  <c r="E313" i="12" s="1"/>
  <c r="C26" i="3"/>
  <c r="C27" i="3"/>
  <c r="C28" i="3"/>
  <c r="C313" i="12" s="1"/>
  <c r="E8" i="3"/>
  <c r="E350" i="12" s="1"/>
  <c r="E9" i="3"/>
  <c r="E15" i="3"/>
  <c r="C8" i="3"/>
  <c r="C350" i="12" s="1"/>
  <c r="C9" i="3"/>
  <c r="C15" i="3"/>
  <c r="E19" i="3"/>
  <c r="E348" i="12" s="1"/>
  <c r="E20" i="3"/>
  <c r="E347" i="12" s="1"/>
  <c r="E22" i="3"/>
  <c r="E346" i="12" s="1"/>
  <c r="C19" i="3"/>
  <c r="C348" i="12" s="1"/>
  <c r="C20" i="3"/>
  <c r="C347" i="12" s="1"/>
  <c r="C22" i="3"/>
  <c r="C346" i="12" s="1"/>
  <c r="C7" i="2"/>
  <c r="C8" i="2"/>
  <c r="C9" i="2"/>
  <c r="C11" i="2"/>
  <c r="C12" i="2"/>
  <c r="C17" i="2"/>
  <c r="C21" i="2"/>
  <c r="C28" i="2"/>
  <c r="C170" i="12" s="1"/>
  <c r="E21" i="2"/>
  <c r="E28" i="2"/>
  <c r="E170" i="12" s="1"/>
  <c r="K7" i="2"/>
  <c r="K8" i="2"/>
  <c r="K9" i="2"/>
  <c r="K10" i="2"/>
  <c r="K11" i="2"/>
  <c r="K12" i="2"/>
  <c r="K17" i="2"/>
  <c r="K21" i="2"/>
  <c r="K28" i="2"/>
  <c r="M170" i="12" s="1"/>
  <c r="I7" i="2"/>
  <c r="I8" i="2"/>
  <c r="I9" i="2"/>
  <c r="I10" i="2"/>
  <c r="I11" i="2"/>
  <c r="I12" i="2"/>
  <c r="I17" i="2"/>
  <c r="I21" i="2"/>
  <c r="I28" i="2"/>
  <c r="K170" i="12" s="1"/>
  <c r="D53" i="7"/>
  <c r="I170" i="12"/>
  <c r="G34" i="3"/>
  <c r="G381" i="12" s="1"/>
  <c r="G35" i="3"/>
  <c r="G185" i="11" s="1"/>
  <c r="G36" i="3"/>
  <c r="G37" i="3"/>
  <c r="G186" i="11" s="1"/>
  <c r="G38" i="3"/>
  <c r="G187" i="11" s="1"/>
  <c r="G39" i="3"/>
  <c r="G52" i="1" s="1"/>
  <c r="G11" i="3"/>
  <c r="G380" i="12" s="1"/>
  <c r="G13" i="3"/>
  <c r="G379" i="12" s="1"/>
  <c r="G170" i="12"/>
  <c r="M19" i="3"/>
  <c r="M20" i="3"/>
  <c r="M22" i="3"/>
  <c r="M8" i="3"/>
  <c r="M9" i="3"/>
  <c r="M11" i="3"/>
  <c r="M13" i="3"/>
  <c r="M15" i="3"/>
  <c r="M26" i="3"/>
  <c r="M27" i="3"/>
  <c r="M28" i="3"/>
  <c r="M34" i="3"/>
  <c r="M35" i="3"/>
  <c r="M36" i="3"/>
  <c r="M37" i="3"/>
  <c r="M38" i="3"/>
  <c r="M39" i="3"/>
  <c r="M52" i="1" s="1"/>
  <c r="K19" i="3"/>
  <c r="K348" i="12" s="1"/>
  <c r="K20" i="3"/>
  <c r="K347" i="12" s="1"/>
  <c r="K22" i="3"/>
  <c r="K346" i="12" s="1"/>
  <c r="K8" i="3"/>
  <c r="K350" i="12" s="1"/>
  <c r="K9" i="3"/>
  <c r="K10" i="3" s="1"/>
  <c r="K11" i="3"/>
  <c r="K380" i="12" s="1"/>
  <c r="K13" i="3"/>
  <c r="K379" i="12" s="1"/>
  <c r="K15" i="3"/>
  <c r="K26" i="3"/>
  <c r="K27" i="3"/>
  <c r="K28" i="3"/>
  <c r="K313" i="12" s="1"/>
  <c r="K34" i="3"/>
  <c r="K184" i="11" s="1"/>
  <c r="K35" i="3"/>
  <c r="K185" i="11" s="1"/>
  <c r="K36" i="3"/>
  <c r="K37" i="3"/>
  <c r="K186" i="11" s="1"/>
  <c r="K38" i="3"/>
  <c r="K187" i="11" s="1"/>
  <c r="K39" i="3"/>
  <c r="K52" i="1" s="1"/>
  <c r="I19" i="3"/>
  <c r="I348" i="12" s="1"/>
  <c r="I20" i="3"/>
  <c r="I347" i="12" s="1"/>
  <c r="I22" i="3"/>
  <c r="I346" i="12" s="1"/>
  <c r="G19" i="3"/>
  <c r="G348" i="12" s="1"/>
  <c r="G20" i="3"/>
  <c r="G347" i="12" s="1"/>
  <c r="G22" i="3"/>
  <c r="G346" i="12" s="1"/>
  <c r="I8" i="3"/>
  <c r="I10" i="3" s="1"/>
  <c r="I9" i="3"/>
  <c r="I11" i="3"/>
  <c r="I380" i="12" s="1"/>
  <c r="I13" i="3"/>
  <c r="I379" i="12" s="1"/>
  <c r="I15" i="3"/>
  <c r="I26" i="3"/>
  <c r="I27" i="3"/>
  <c r="I28" i="3"/>
  <c r="I313" i="12" s="1"/>
  <c r="I34" i="3"/>
  <c r="I40" i="3" s="1"/>
  <c r="I35" i="3"/>
  <c r="I185" i="11" s="1"/>
  <c r="I36" i="3"/>
  <c r="I37" i="3"/>
  <c r="I186" i="11" s="1"/>
  <c r="I38" i="3"/>
  <c r="I377" i="12" s="1"/>
  <c r="I39" i="3"/>
  <c r="I52" i="1" s="1"/>
  <c r="G8" i="3"/>
  <c r="G350" i="12" s="1"/>
  <c r="G9" i="3"/>
  <c r="G15" i="3"/>
  <c r="G26" i="3"/>
  <c r="G27" i="3"/>
  <c r="G28" i="3"/>
  <c r="G313" i="12" s="1"/>
  <c r="C112" i="12"/>
  <c r="E112" i="12"/>
  <c r="C216" i="12"/>
  <c r="C217" i="12"/>
  <c r="C218" i="12"/>
  <c r="C219" i="12"/>
  <c r="C220" i="12"/>
  <c r="E217" i="12"/>
  <c r="I217" i="12" s="1"/>
  <c r="E218" i="12"/>
  <c r="I218" i="12" s="1"/>
  <c r="E219" i="12"/>
  <c r="E220" i="12"/>
  <c r="E216" i="12"/>
  <c r="B216" i="12"/>
  <c r="B217" i="12"/>
  <c r="B218" i="12"/>
  <c r="B219" i="12"/>
  <c r="B220" i="12"/>
  <c r="K25" i="2"/>
  <c r="M50" i="1" s="1"/>
  <c r="K37" i="2"/>
  <c r="K39" i="2"/>
  <c r="K40" i="2"/>
  <c r="K41" i="2"/>
  <c r="K42" i="2"/>
  <c r="I25" i="2"/>
  <c r="K50" i="1" s="1"/>
  <c r="I37" i="2"/>
  <c r="I39" i="2"/>
  <c r="I40" i="2"/>
  <c r="I41" i="2"/>
  <c r="I42" i="2"/>
  <c r="I50" i="1"/>
  <c r="G50" i="1"/>
  <c r="E25" i="2"/>
  <c r="E50" i="1" s="1"/>
  <c r="E37" i="2"/>
  <c r="E39" i="2"/>
  <c r="E40" i="2"/>
  <c r="E41" i="2"/>
  <c r="E42" i="2"/>
  <c r="E49" i="2"/>
  <c r="E50" i="2"/>
  <c r="C25" i="2"/>
  <c r="C50" i="1" s="1"/>
  <c r="C37" i="2"/>
  <c r="C39" i="2"/>
  <c r="C40" i="2"/>
  <c r="C41" i="2"/>
  <c r="C42" i="2"/>
  <c r="M387" i="12"/>
  <c r="K387" i="12"/>
  <c r="I387" i="12"/>
  <c r="G387" i="12"/>
  <c r="E387" i="12"/>
  <c r="K49" i="2"/>
  <c r="K50" i="2"/>
  <c r="K59" i="2"/>
  <c r="K62" i="2"/>
  <c r="M86" i="12"/>
  <c r="M166" i="12" s="1"/>
  <c r="M203" i="12" s="1"/>
  <c r="M281" i="12" s="1"/>
  <c r="M94" i="12"/>
  <c r="C106" i="1"/>
  <c r="C71" i="11" s="1"/>
  <c r="M253" i="12"/>
  <c r="M244" i="12"/>
  <c r="M246" i="12"/>
  <c r="M238" i="12"/>
  <c r="M239" i="12"/>
  <c r="M240" i="12"/>
  <c r="K253" i="12"/>
  <c r="K244" i="12"/>
  <c r="K246" i="12"/>
  <c r="K238" i="12"/>
  <c r="K239" i="12"/>
  <c r="K240" i="12"/>
  <c r="I253" i="12"/>
  <c r="I244" i="12"/>
  <c r="I246" i="12"/>
  <c r="I238" i="12"/>
  <c r="I239" i="12"/>
  <c r="I240" i="12"/>
  <c r="G253" i="12"/>
  <c r="G244" i="12"/>
  <c r="G246" i="12"/>
  <c r="G238" i="12"/>
  <c r="G239" i="12"/>
  <c r="G240" i="12"/>
  <c r="E253" i="12"/>
  <c r="E244" i="12"/>
  <c r="E246" i="12"/>
  <c r="E238" i="12"/>
  <c r="E239" i="12"/>
  <c r="E240" i="12"/>
  <c r="M237" i="12"/>
  <c r="C61" i="1"/>
  <c r="E61" i="1"/>
  <c r="G61" i="1"/>
  <c r="H61" i="1"/>
  <c r="I61" i="1"/>
  <c r="K61" i="1"/>
  <c r="M61" i="1"/>
  <c r="E57" i="1"/>
  <c r="C57" i="1"/>
  <c r="B61" i="1"/>
  <c r="C244" i="12"/>
  <c r="C246" i="12"/>
  <c r="M112" i="1"/>
  <c r="I132" i="6"/>
  <c r="K112" i="1" s="1"/>
  <c r="K118" i="11" s="1"/>
  <c r="G132" i="6"/>
  <c r="G112" i="1" s="1"/>
  <c r="G118" i="11" s="1"/>
  <c r="E132" i="6"/>
  <c r="E112" i="1" s="1"/>
  <c r="E118" i="11" s="1"/>
  <c r="C132" i="6"/>
  <c r="C112" i="1" s="1"/>
  <c r="C118" i="11" s="1"/>
  <c r="C238" i="12"/>
  <c r="C239" i="12"/>
  <c r="C240" i="12"/>
  <c r="K237" i="12"/>
  <c r="I237" i="12"/>
  <c r="G237" i="12"/>
  <c r="E237" i="12"/>
  <c r="C237" i="12"/>
  <c r="C387" i="12" s="1"/>
  <c r="I232" i="12"/>
  <c r="I231" i="12"/>
  <c r="I230" i="12"/>
  <c r="I229" i="12"/>
  <c r="I233" i="12" s="1"/>
  <c r="G232" i="12"/>
  <c r="G231" i="12"/>
  <c r="G230" i="12"/>
  <c r="G229" i="12"/>
  <c r="G233" i="12" s="1"/>
  <c r="E232" i="12"/>
  <c r="E231" i="12"/>
  <c r="E230" i="12"/>
  <c r="E229" i="12"/>
  <c r="E233" i="12" s="1"/>
  <c r="C230" i="12"/>
  <c r="K230" i="12" s="1"/>
  <c r="C231" i="12"/>
  <c r="K231" i="12" s="1"/>
  <c r="C232" i="12"/>
  <c r="K232" i="12" s="1"/>
  <c r="C229" i="12"/>
  <c r="K229" i="12" s="1"/>
  <c r="K233" i="12" s="1"/>
  <c r="B230" i="12"/>
  <c r="B231" i="12"/>
  <c r="B232" i="12"/>
  <c r="B229" i="12"/>
  <c r="B205" i="12"/>
  <c r="B206" i="12"/>
  <c r="B207" i="12"/>
  <c r="B208" i="12"/>
  <c r="B209" i="12"/>
  <c r="B204" i="12"/>
  <c r="O232" i="12"/>
  <c r="Q232" i="12"/>
  <c r="S232" i="12"/>
  <c r="U232" i="12"/>
  <c r="I112" i="12"/>
  <c r="K112" i="12"/>
  <c r="I49" i="2"/>
  <c r="I50" i="2"/>
  <c r="I59" i="2"/>
  <c r="I62" i="2"/>
  <c r="E59" i="2"/>
  <c r="E62" i="2"/>
  <c r="C49" i="2"/>
  <c r="C50" i="2"/>
  <c r="C59" i="2"/>
  <c r="C62" i="2"/>
  <c r="K94" i="12"/>
  <c r="I94" i="12"/>
  <c r="G94" i="12"/>
  <c r="E94" i="12"/>
  <c r="C94" i="12"/>
  <c r="K57" i="12"/>
  <c r="K56" i="12"/>
  <c r="K55" i="12"/>
  <c r="K54" i="12"/>
  <c r="I57" i="12"/>
  <c r="I56" i="12"/>
  <c r="I55" i="12"/>
  <c r="I54" i="12"/>
  <c r="G57" i="12"/>
  <c r="G56" i="12"/>
  <c r="G55" i="12"/>
  <c r="G54" i="12"/>
  <c r="E57" i="12"/>
  <c r="E56" i="12"/>
  <c r="E55" i="12"/>
  <c r="E54" i="12"/>
  <c r="C55" i="12"/>
  <c r="C56" i="12"/>
  <c r="C57" i="12"/>
  <c r="C54" i="12"/>
  <c r="B55" i="12"/>
  <c r="B56" i="12"/>
  <c r="B57" i="12"/>
  <c r="B54" i="12"/>
  <c r="K53" i="12"/>
  <c r="I53" i="12"/>
  <c r="G53" i="12"/>
  <c r="E53" i="12"/>
  <c r="C53" i="12"/>
  <c r="K50" i="12"/>
  <c r="K49" i="12"/>
  <c r="K48" i="12"/>
  <c r="K47" i="12"/>
  <c r="K46" i="12"/>
  <c r="I50" i="12"/>
  <c r="I49" i="12"/>
  <c r="I48" i="12"/>
  <c r="I47" i="12"/>
  <c r="I46" i="12"/>
  <c r="G50" i="12"/>
  <c r="G49" i="12"/>
  <c r="G48" i="12"/>
  <c r="G47" i="12"/>
  <c r="G46" i="12"/>
  <c r="E50" i="12"/>
  <c r="E49" i="12"/>
  <c r="E48" i="12"/>
  <c r="E47" i="12"/>
  <c r="E46" i="12"/>
  <c r="C47" i="12"/>
  <c r="C48" i="12"/>
  <c r="C49" i="12"/>
  <c r="C50" i="12"/>
  <c r="C46" i="12"/>
  <c r="B47" i="12"/>
  <c r="B48" i="12"/>
  <c r="B49" i="12"/>
  <c r="B50" i="12"/>
  <c r="B46" i="12"/>
  <c r="K45" i="12"/>
  <c r="I45" i="12"/>
  <c r="G45" i="12"/>
  <c r="E45" i="12"/>
  <c r="C45" i="12"/>
  <c r="C15" i="12"/>
  <c r="E15" i="12"/>
  <c r="K15" i="12"/>
  <c r="I15" i="12"/>
  <c r="G15" i="12"/>
  <c r="K51" i="1"/>
  <c r="K13" i="12" s="1"/>
  <c r="I51" i="1"/>
  <c r="I13" i="12" s="1"/>
  <c r="G51" i="1"/>
  <c r="G13" i="12" s="1"/>
  <c r="E51" i="1"/>
  <c r="E13" i="12" s="1"/>
  <c r="C51" i="1"/>
  <c r="C13" i="12" s="1"/>
  <c r="C10" i="12"/>
  <c r="E10" i="12"/>
  <c r="G10" i="12"/>
  <c r="I10" i="12"/>
  <c r="K10" i="12"/>
  <c r="C56" i="1"/>
  <c r="E56" i="1"/>
  <c r="G56" i="1"/>
  <c r="I56" i="1"/>
  <c r="K56" i="1"/>
  <c r="E60" i="6"/>
  <c r="E121" i="6" s="1"/>
  <c r="G120" i="6" s="1"/>
  <c r="K4" i="3"/>
  <c r="K183" i="11" s="1"/>
  <c r="I4" i="3"/>
  <c r="I207" i="11" s="1"/>
  <c r="E4" i="3"/>
  <c r="E183" i="11" s="1"/>
  <c r="C4" i="3"/>
  <c r="C207" i="11" s="1"/>
  <c r="K3" i="1"/>
  <c r="K115" i="11" s="1"/>
  <c r="I3" i="1"/>
  <c r="I84" i="1" s="1"/>
  <c r="E3" i="1"/>
  <c r="E233" i="11" s="1"/>
  <c r="C3" i="1"/>
  <c r="C84" i="1" s="1"/>
  <c r="G3" i="1"/>
  <c r="G233" i="11" s="1"/>
  <c r="G4" i="3"/>
  <c r="G183" i="11" s="1"/>
  <c r="I112" i="1"/>
  <c r="I118" i="11" s="1"/>
  <c r="I128" i="6"/>
  <c r="K109" i="1" s="1"/>
  <c r="K116" i="11" s="1"/>
  <c r="E128" i="6"/>
  <c r="E109" i="1" s="1"/>
  <c r="E116" i="11" s="1"/>
  <c r="C128" i="6"/>
  <c r="C109" i="1" s="1"/>
  <c r="C116" i="11" s="1"/>
  <c r="G128" i="6"/>
  <c r="G109" i="1" s="1"/>
  <c r="G116" i="11" s="1"/>
  <c r="K108" i="1"/>
  <c r="K73" i="11" s="1"/>
  <c r="I108" i="1"/>
  <c r="I73" i="11" s="1"/>
  <c r="E108" i="1"/>
  <c r="E73" i="11" s="1"/>
  <c r="C108" i="1"/>
  <c r="C73" i="11" s="1"/>
  <c r="K107" i="1"/>
  <c r="K72" i="11" s="1"/>
  <c r="I107" i="1"/>
  <c r="I72" i="11" s="1"/>
  <c r="E107" i="1"/>
  <c r="E72" i="11" s="1"/>
  <c r="C107" i="1"/>
  <c r="C72" i="11" s="1"/>
  <c r="K106" i="1"/>
  <c r="K71" i="11" s="1"/>
  <c r="I106" i="1"/>
  <c r="I71" i="11" s="1"/>
  <c r="E106" i="1"/>
  <c r="E71" i="11" s="1"/>
  <c r="G108" i="1"/>
  <c r="G73" i="11" s="1"/>
  <c r="G107" i="1"/>
  <c r="G72" i="11" s="1"/>
  <c r="G106" i="1"/>
  <c r="G71" i="11" s="1"/>
  <c r="I26" i="2"/>
  <c r="K49" i="11" s="1"/>
  <c r="I49" i="11"/>
  <c r="G49" i="11"/>
  <c r="E26" i="2"/>
  <c r="E49" i="11" s="1"/>
  <c r="C26" i="2"/>
  <c r="C49" i="11" s="1"/>
  <c r="I4" i="2"/>
  <c r="K44" i="11" s="1"/>
  <c r="I44" i="11"/>
  <c r="G4" i="2"/>
  <c r="G44" i="11" s="1"/>
  <c r="E4" i="2"/>
  <c r="E44" i="11" s="1"/>
  <c r="C4" i="2"/>
  <c r="C44" i="11" s="1"/>
  <c r="M3" i="1"/>
  <c r="M84" i="1" s="1"/>
  <c r="M83" i="1"/>
  <c r="K83" i="1"/>
  <c r="M126" i="1"/>
  <c r="M94" i="1"/>
  <c r="M127" i="1"/>
  <c r="M111" i="1"/>
  <c r="M110" i="1"/>
  <c r="M108" i="1"/>
  <c r="M107" i="1"/>
  <c r="M106" i="1"/>
  <c r="K26" i="2"/>
  <c r="M95" i="1"/>
  <c r="M71" i="1"/>
  <c r="M70" i="1"/>
  <c r="M69" i="1"/>
  <c r="M68" i="1"/>
  <c r="M67" i="1"/>
  <c r="M66" i="1"/>
  <c r="M65" i="1"/>
  <c r="M64" i="1"/>
  <c r="M62" i="1"/>
  <c r="M57" i="1"/>
  <c r="M60" i="1"/>
  <c r="M59" i="1"/>
  <c r="M58" i="1"/>
  <c r="M56" i="1"/>
  <c r="M51" i="1"/>
  <c r="I84" i="6"/>
  <c r="I98" i="6"/>
  <c r="I109" i="6"/>
  <c r="I113" i="6"/>
  <c r="M45" i="3"/>
  <c r="M49" i="3"/>
  <c r="M50" i="3"/>
  <c r="M51" i="3"/>
  <c r="M52" i="3"/>
  <c r="M56" i="3"/>
  <c r="M57" i="3" s="1"/>
  <c r="M4" i="3"/>
  <c r="M3" i="3"/>
  <c r="K29" i="2"/>
  <c r="K4" i="2"/>
  <c r="K3" i="2"/>
  <c r="I126" i="1"/>
  <c r="C126" i="1"/>
  <c r="C94" i="1"/>
  <c r="C127" i="1"/>
  <c r="E126" i="1"/>
  <c r="E94" i="1"/>
  <c r="E127" i="1"/>
  <c r="C111" i="1"/>
  <c r="C110" i="1"/>
  <c r="E111" i="1"/>
  <c r="E110" i="1"/>
  <c r="C95" i="1"/>
  <c r="E95" i="1"/>
  <c r="C67" i="1"/>
  <c r="C66" i="1"/>
  <c r="C65" i="1"/>
  <c r="C64" i="1"/>
  <c r="C62" i="1"/>
  <c r="E67" i="1"/>
  <c r="E66" i="1"/>
  <c r="E65" i="1"/>
  <c r="E64" i="1"/>
  <c r="E62" i="1"/>
  <c r="C60" i="1"/>
  <c r="C59" i="1"/>
  <c r="C58" i="1"/>
  <c r="E60" i="1"/>
  <c r="E59" i="1"/>
  <c r="E58" i="1"/>
  <c r="I29" i="2"/>
  <c r="I3" i="2"/>
  <c r="K45" i="3"/>
  <c r="K56" i="3"/>
  <c r="K57" i="3" s="1"/>
  <c r="K3" i="3"/>
  <c r="G60" i="6"/>
  <c r="G121" i="6" s="1"/>
  <c r="I120" i="6" s="1"/>
  <c r="I45" i="3"/>
  <c r="G49" i="3"/>
  <c r="G50" i="3"/>
  <c r="G51" i="3"/>
  <c r="G52" i="3"/>
  <c r="I56" i="3"/>
  <c r="I57" i="3" s="1"/>
  <c r="I3" i="3"/>
  <c r="G45" i="3"/>
  <c r="G56" i="3"/>
  <c r="G57" i="3" s="1"/>
  <c r="G3" i="3"/>
  <c r="G3" i="2"/>
  <c r="E50" i="3"/>
  <c r="C50" i="3"/>
  <c r="C60" i="6"/>
  <c r="C121" i="6" s="1"/>
  <c r="E120" i="6" s="1"/>
  <c r="E45" i="3"/>
  <c r="E49" i="3"/>
  <c r="E51" i="3"/>
  <c r="E52" i="3"/>
  <c r="E56" i="3"/>
  <c r="E57" i="3" s="1"/>
  <c r="E3" i="3"/>
  <c r="E29" i="2"/>
  <c r="E3" i="2"/>
  <c r="E108" i="6"/>
  <c r="E109" i="6" s="1"/>
  <c r="I146" i="6"/>
  <c r="I147" i="6" s="1"/>
  <c r="B67" i="1"/>
  <c r="B66" i="1"/>
  <c r="B65" i="1"/>
  <c r="B64" i="1"/>
  <c r="B62" i="1"/>
  <c r="B57" i="1"/>
  <c r="B60" i="1"/>
  <c r="B59" i="1"/>
  <c r="B58" i="1"/>
  <c r="B56" i="1"/>
  <c r="K126" i="1"/>
  <c r="K94" i="1"/>
  <c r="I94" i="1"/>
  <c r="G126" i="1"/>
  <c r="G94" i="1"/>
  <c r="K127" i="1"/>
  <c r="I127" i="1"/>
  <c r="G127" i="1"/>
  <c r="K67" i="1"/>
  <c r="K66" i="1"/>
  <c r="I67" i="1"/>
  <c r="I66" i="1"/>
  <c r="K65" i="1"/>
  <c r="K64" i="1"/>
  <c r="K62" i="1"/>
  <c r="K57" i="1"/>
  <c r="I65" i="1"/>
  <c r="I64" i="1"/>
  <c r="I62" i="1"/>
  <c r="I57" i="1"/>
  <c r="G67" i="1"/>
  <c r="G66" i="1"/>
  <c r="G65" i="1"/>
  <c r="G64" i="1"/>
  <c r="G62" i="1"/>
  <c r="G57" i="1"/>
  <c r="K60" i="1"/>
  <c r="K59" i="1"/>
  <c r="K58" i="1"/>
  <c r="I60" i="1"/>
  <c r="I59" i="1"/>
  <c r="I58" i="1"/>
  <c r="G60" i="1"/>
  <c r="G59" i="1"/>
  <c r="G58" i="1"/>
  <c r="K95" i="1"/>
  <c r="I95" i="1"/>
  <c r="G95" i="1"/>
  <c r="A3" i="1"/>
  <c r="A83" i="1" s="1"/>
  <c r="K111" i="1"/>
  <c r="K110" i="1"/>
  <c r="I111" i="1"/>
  <c r="I110" i="1"/>
  <c r="G111" i="1"/>
  <c r="H65" i="1"/>
  <c r="H64" i="1"/>
  <c r="H62" i="1"/>
  <c r="H57" i="1"/>
  <c r="H60" i="1"/>
  <c r="H59" i="1"/>
  <c r="H58" i="1"/>
  <c r="H56" i="1"/>
  <c r="G110" i="1"/>
  <c r="E146" i="6"/>
  <c r="E147" i="6" s="1"/>
  <c r="C29" i="2"/>
  <c r="I18" i="6"/>
  <c r="I29" i="6" s="1"/>
  <c r="O62" i="8"/>
  <c r="O29" i="8"/>
  <c r="O39" i="8" s="1"/>
  <c r="O9" i="8"/>
  <c r="O15" i="8"/>
  <c r="O17" i="8"/>
  <c r="M15" i="8"/>
  <c r="M17" i="8"/>
  <c r="G17" i="8"/>
  <c r="M29" i="8"/>
  <c r="M37" i="8" s="1"/>
  <c r="O48" i="8"/>
  <c r="O54" i="8" s="1"/>
  <c r="O47" i="8"/>
  <c r="O30" i="8"/>
  <c r="O31" i="8"/>
  <c r="O10" i="8"/>
  <c r="O8" i="8"/>
  <c r="O4" i="8"/>
  <c r="O3" i="8"/>
  <c r="C45" i="3"/>
  <c r="C49" i="3"/>
  <c r="C51" i="3"/>
  <c r="C52" i="3"/>
  <c r="C56" i="3"/>
  <c r="C57" i="3" s="1"/>
  <c r="F40" i="2"/>
  <c r="C71" i="1"/>
  <c r="C70" i="1"/>
  <c r="C69" i="1"/>
  <c r="C68" i="1"/>
  <c r="E17" i="8"/>
  <c r="C17" i="8"/>
  <c r="C146" i="6"/>
  <c r="C147" i="6" s="1"/>
  <c r="C63" i="3"/>
  <c r="C3" i="3"/>
  <c r="C3" i="2"/>
  <c r="C108" i="6"/>
  <c r="C109" i="6" s="1"/>
  <c r="C84" i="6"/>
  <c r="C98" i="6"/>
  <c r="C113" i="6"/>
  <c r="C68" i="6"/>
  <c r="C67" i="6"/>
  <c r="C40" i="6"/>
  <c r="C48" i="6" s="1"/>
  <c r="K71" i="1"/>
  <c r="K70" i="1"/>
  <c r="K69" i="1"/>
  <c r="K68" i="1"/>
  <c r="G62" i="8"/>
  <c r="I10" i="8"/>
  <c r="G29" i="8"/>
  <c r="G42" i="8" s="1"/>
  <c r="G15" i="8"/>
  <c r="M10" i="8"/>
  <c r="G10" i="8"/>
  <c r="I60" i="6"/>
  <c r="M8" i="8" s="1"/>
  <c r="G98" i="6"/>
  <c r="E62" i="8" s="1"/>
  <c r="E29" i="8"/>
  <c r="E15" i="8"/>
  <c r="I40" i="6"/>
  <c r="I48" i="6" s="1"/>
  <c r="K29" i="8"/>
  <c r="K37" i="8" s="1"/>
  <c r="K15" i="8"/>
  <c r="K16" i="8"/>
  <c r="K17" i="8"/>
  <c r="M48" i="8"/>
  <c r="M54" i="8" s="1"/>
  <c r="M47" i="8"/>
  <c r="M30" i="8"/>
  <c r="M31" i="8"/>
  <c r="M4" i="8"/>
  <c r="M3" i="8"/>
  <c r="K62" i="8"/>
  <c r="K72" i="8"/>
  <c r="K71" i="8"/>
  <c r="I29" i="8"/>
  <c r="I25" i="9" s="1"/>
  <c r="I27" i="9" s="1"/>
  <c r="I15" i="8"/>
  <c r="I16" i="8"/>
  <c r="I17" i="8"/>
  <c r="K60" i="8"/>
  <c r="K64" i="8"/>
  <c r="K61" i="8"/>
  <c r="K9" i="8"/>
  <c r="K48" i="8"/>
  <c r="K54" i="8" s="1"/>
  <c r="K47" i="8"/>
  <c r="K52" i="8"/>
  <c r="K30" i="8"/>
  <c r="K51" i="8" s="1"/>
  <c r="K31" i="8"/>
  <c r="K50" i="8" s="1"/>
  <c r="K10" i="8"/>
  <c r="K8" i="8"/>
  <c r="K7" i="8"/>
  <c r="K4" i="8"/>
  <c r="K3" i="8"/>
  <c r="I62" i="8"/>
  <c r="I73" i="8" s="1"/>
  <c r="I72" i="8"/>
  <c r="I71" i="8"/>
  <c r="I60" i="8"/>
  <c r="I64" i="8"/>
  <c r="I61" i="8"/>
  <c r="I9" i="8"/>
  <c r="I48" i="8"/>
  <c r="I54" i="8" s="1"/>
  <c r="I47" i="8"/>
  <c r="I52" i="8"/>
  <c r="I30" i="8"/>
  <c r="I51" i="8" s="1"/>
  <c r="I31" i="8"/>
  <c r="I50" i="8" s="1"/>
  <c r="I8" i="8"/>
  <c r="I7" i="8"/>
  <c r="I4" i="8"/>
  <c r="G4" i="9" s="1"/>
  <c r="I3" i="8"/>
  <c r="G3" i="9" s="1"/>
  <c r="I68" i="6"/>
  <c r="I67" i="6"/>
  <c r="H12" i="9"/>
  <c r="H13" i="9"/>
  <c r="D12" i="9"/>
  <c r="D13" i="9"/>
  <c r="F12" i="9"/>
  <c r="F13" i="9"/>
  <c r="E98" i="6"/>
  <c r="C62" i="8" s="1"/>
  <c r="H16" i="8"/>
  <c r="H40" i="2"/>
  <c r="G48" i="8"/>
  <c r="G54" i="8" s="1"/>
  <c r="G47" i="8"/>
  <c r="G30" i="8"/>
  <c r="G31" i="8"/>
  <c r="G50" i="8" s="1"/>
  <c r="C29" i="8"/>
  <c r="C40" i="8" s="1"/>
  <c r="C15" i="8"/>
  <c r="H49" i="7"/>
  <c r="H80" i="7" s="1"/>
  <c r="H48" i="7"/>
  <c r="H79" i="7" s="1"/>
  <c r="F49" i="7"/>
  <c r="F80" i="7" s="1"/>
  <c r="F48" i="7"/>
  <c r="F79" i="7" s="1"/>
  <c r="H6" i="7"/>
  <c r="H46" i="7" s="1"/>
  <c r="H45" i="7"/>
  <c r="F6" i="7"/>
  <c r="F46" i="7" s="1"/>
  <c r="F45" i="7"/>
  <c r="D45" i="7"/>
  <c r="B45" i="7"/>
  <c r="H52" i="7"/>
  <c r="H51" i="7"/>
  <c r="H82" i="7" s="1"/>
  <c r="H50" i="7"/>
  <c r="F52" i="7"/>
  <c r="F51" i="7"/>
  <c r="F82" i="7" s="1"/>
  <c r="F50" i="7"/>
  <c r="E40" i="6"/>
  <c r="E48" i="6" s="1"/>
  <c r="C48" i="8"/>
  <c r="C54" i="8" s="1"/>
  <c r="C47" i="8"/>
  <c r="C30" i="8"/>
  <c r="C31" i="8"/>
  <c r="C4" i="8"/>
  <c r="C3" i="8"/>
  <c r="I71" i="1"/>
  <c r="I70" i="1"/>
  <c r="I69" i="1"/>
  <c r="I68" i="1"/>
  <c r="G71" i="1"/>
  <c r="G70" i="1"/>
  <c r="G69" i="1"/>
  <c r="G68" i="1"/>
  <c r="E84" i="6"/>
  <c r="E113" i="6"/>
  <c r="E68" i="6"/>
  <c r="E67" i="6"/>
  <c r="F57" i="7"/>
  <c r="H57" i="7"/>
  <c r="F53" i="7"/>
  <c r="H53" i="7"/>
  <c r="B1" i="8"/>
  <c r="G72" i="8"/>
  <c r="G29" i="6"/>
  <c r="G40" i="6"/>
  <c r="G48" i="6" s="1"/>
  <c r="E47" i="8"/>
  <c r="E31" i="8"/>
  <c r="E30" i="8"/>
  <c r="E48" i="8"/>
  <c r="E54" i="8" s="1"/>
  <c r="G4" i="8"/>
  <c r="E4" i="9" s="1"/>
  <c r="G3" i="8"/>
  <c r="E3" i="9" s="1"/>
  <c r="E4" i="8"/>
  <c r="C4" i="9" s="1"/>
  <c r="E3" i="8"/>
  <c r="C3" i="9" s="1"/>
  <c r="G84" i="6"/>
  <c r="G109" i="6"/>
  <c r="G113" i="6"/>
  <c r="G68" i="6"/>
  <c r="G67" i="6"/>
  <c r="H21" i="7"/>
  <c r="H37" i="7" s="1"/>
  <c r="H43" i="7"/>
  <c r="F21" i="7"/>
  <c r="F33" i="7" s="1"/>
  <c r="F61" i="7" s="1"/>
  <c r="F43" i="7"/>
  <c r="F69" i="7" s="1"/>
  <c r="D43" i="7"/>
  <c r="D69" i="7" s="1"/>
  <c r="B43" i="7"/>
  <c r="B69" i="7" s="1"/>
  <c r="B82" i="7"/>
  <c r="H28" i="7"/>
  <c r="H75" i="7" s="1"/>
  <c r="F28" i="7"/>
  <c r="F75" i="7" s="1"/>
  <c r="D28" i="7"/>
  <c r="D75" i="7" s="1"/>
  <c r="B28" i="7"/>
  <c r="B75" i="7" s="1"/>
  <c r="H16" i="7"/>
  <c r="H74" i="7" s="1"/>
  <c r="H15" i="7"/>
  <c r="H73" i="7" s="1"/>
  <c r="H24" i="7"/>
  <c r="H41" i="7" s="1"/>
  <c r="F24" i="7"/>
  <c r="F67" i="7" s="1"/>
  <c r="D24" i="7"/>
  <c r="D41" i="7" s="1"/>
  <c r="B24" i="7"/>
  <c r="B41" i="7" s="1"/>
  <c r="H44" i="7"/>
  <c r="H39" i="7" s="1"/>
  <c r="F44" i="7"/>
  <c r="F39" i="7" s="1"/>
  <c r="D44" i="7"/>
  <c r="D39" i="7" s="1"/>
  <c r="B44" i="7"/>
  <c r="B39" i="7" s="1"/>
  <c r="H40" i="7"/>
  <c r="F40" i="7"/>
  <c r="F66" i="7" s="1"/>
  <c r="D40" i="7"/>
  <c r="D66" i="7" s="1"/>
  <c r="B40" i="7"/>
  <c r="B66" i="7" s="1"/>
  <c r="H18" i="7"/>
  <c r="H19" i="7"/>
  <c r="F18" i="7"/>
  <c r="D18" i="7"/>
  <c r="B18" i="7"/>
  <c r="H17" i="7"/>
  <c r="D81" i="7"/>
  <c r="F81" i="7"/>
  <c r="H81" i="7"/>
  <c r="B81" i="7"/>
  <c r="H26" i="7"/>
  <c r="H25" i="7"/>
  <c r="F9" i="7"/>
  <c r="F70" i="7" s="1"/>
  <c r="H9" i="7"/>
  <c r="H70" i="7" s="1"/>
  <c r="F71" i="7"/>
  <c r="H71" i="7"/>
  <c r="F36" i="7"/>
  <c r="F64" i="7" s="1"/>
  <c r="H36" i="7"/>
  <c r="H64" i="7" s="1"/>
  <c r="F56" i="7"/>
  <c r="H56" i="7"/>
  <c r="F55" i="7"/>
  <c r="H55" i="7"/>
  <c r="F42" i="7"/>
  <c r="H42" i="7"/>
  <c r="F32" i="7"/>
  <c r="H32" i="7"/>
  <c r="D27" i="7"/>
  <c r="F27" i="7"/>
  <c r="H27" i="7"/>
  <c r="B27" i="7"/>
  <c r="D25" i="7"/>
  <c r="F25" i="7"/>
  <c r="B25" i="7"/>
  <c r="D26" i="7"/>
  <c r="F26" i="7"/>
  <c r="B26" i="7"/>
  <c r="F22" i="7"/>
  <c r="H22" i="7"/>
  <c r="F12" i="7"/>
  <c r="H12" i="7"/>
  <c r="F11" i="7"/>
  <c r="H11" i="7"/>
  <c r="F10" i="7"/>
  <c r="H10" i="7"/>
  <c r="F8" i="7"/>
  <c r="H8" i="7"/>
  <c r="E71" i="1"/>
  <c r="E70" i="1"/>
  <c r="E69" i="1"/>
  <c r="E68" i="1"/>
  <c r="B68" i="1"/>
  <c r="B69" i="1"/>
  <c r="B70" i="1"/>
  <c r="B71" i="1"/>
  <c r="A2" i="3"/>
  <c r="A2" i="2"/>
  <c r="M109" i="1"/>
  <c r="I109" i="1"/>
  <c r="I116" i="11" s="1"/>
  <c r="G70" i="11"/>
  <c r="G45" i="11"/>
  <c r="I34" i="8"/>
  <c r="G63" i="6" l="1"/>
  <c r="K376" i="12"/>
  <c r="K381" i="12"/>
  <c r="I381" i="12"/>
  <c r="M103" i="1"/>
  <c r="C48" i="11"/>
  <c r="E9" i="1"/>
  <c r="E88" i="12" s="1"/>
  <c r="I187" i="11"/>
  <c r="I136" i="11"/>
  <c r="I349" i="12"/>
  <c r="H67" i="7"/>
  <c r="G26" i="11"/>
  <c r="C34" i="8"/>
  <c r="C229" i="11"/>
  <c r="I13" i="8"/>
  <c r="E3" i="11"/>
  <c r="I350" i="12"/>
  <c r="E91" i="11"/>
  <c r="I233" i="11"/>
  <c r="I184" i="11"/>
  <c r="G207" i="11"/>
  <c r="I115" i="11"/>
  <c r="D6" i="7"/>
  <c r="D46" i="7" s="1"/>
  <c r="C185" i="11"/>
  <c r="E242" i="12"/>
  <c r="G247" i="12"/>
  <c r="M29" i="3"/>
  <c r="M35" i="1" s="1"/>
  <c r="K349" i="12"/>
  <c r="I247" i="12"/>
  <c r="C61" i="8"/>
  <c r="K103" i="1"/>
  <c r="C117" i="12"/>
  <c r="I117" i="12" s="1"/>
  <c r="M242" i="12"/>
  <c r="M42" i="8"/>
  <c r="M51" i="8"/>
  <c r="F68" i="7"/>
  <c r="F38" i="7"/>
  <c r="F65" i="7" s="1"/>
  <c r="H68" i="7"/>
  <c r="E45" i="11"/>
  <c r="E102" i="1"/>
  <c r="E117" i="11" s="1"/>
  <c r="G8" i="1"/>
  <c r="E89" i="1"/>
  <c r="K89" i="1"/>
  <c r="G102" i="1"/>
  <c r="G117" i="11" s="1"/>
  <c r="M102" i="1"/>
  <c r="K300" i="12" s="1"/>
  <c r="F37" i="7"/>
  <c r="C9" i="1"/>
  <c r="C88" i="12" s="1"/>
  <c r="C3" i="11"/>
  <c r="C38" i="8"/>
  <c r="I17" i="1"/>
  <c r="D42" i="7"/>
  <c r="G18" i="8"/>
  <c r="I101" i="6"/>
  <c r="I117" i="6" s="1"/>
  <c r="I121" i="6" s="1"/>
  <c r="I122" i="6" s="1"/>
  <c r="E14" i="12"/>
  <c r="I89" i="1"/>
  <c r="E61" i="8"/>
  <c r="M61" i="8"/>
  <c r="M37" i="1"/>
  <c r="M23" i="3"/>
  <c r="K45" i="11"/>
  <c r="E15" i="2"/>
  <c r="E18" i="2" s="1"/>
  <c r="I88" i="1"/>
  <c r="O34" i="8"/>
  <c r="E185" i="11"/>
  <c r="C136" i="11"/>
  <c r="Q29" i="8"/>
  <c r="I37" i="1"/>
  <c r="M16" i="8"/>
  <c r="M18" i="8" s="1"/>
  <c r="G378" i="12"/>
  <c r="M39" i="8"/>
  <c r="C160" i="11"/>
  <c r="G136" i="11"/>
  <c r="G3" i="11"/>
  <c r="E63" i="6"/>
  <c r="E64" i="6" s="1"/>
  <c r="G17" i="1"/>
  <c r="G20" i="1" s="1"/>
  <c r="E8" i="1"/>
  <c r="E87" i="12" s="1"/>
  <c r="O53" i="8"/>
  <c r="K23" i="3"/>
  <c r="K162" i="11" s="1"/>
  <c r="K91" i="11"/>
  <c r="M10" i="1"/>
  <c r="M89" i="12" s="1"/>
  <c r="E187" i="11"/>
  <c r="F34" i="7"/>
  <c r="F62" i="7" s="1"/>
  <c r="C10" i="3"/>
  <c r="C12" i="3" s="1"/>
  <c r="C14" i="3" s="1"/>
  <c r="C16" i="3" s="1"/>
  <c r="C161" i="11" s="1"/>
  <c r="M34" i="8"/>
  <c r="I48" i="11"/>
  <c r="E16" i="12"/>
  <c r="I43" i="2"/>
  <c r="K45" i="1" s="1"/>
  <c r="K389" i="12" s="1"/>
  <c r="E103" i="1"/>
  <c r="E10" i="8"/>
  <c r="Q10" i="8" s="1"/>
  <c r="I24" i="2"/>
  <c r="I30" i="2" s="1"/>
  <c r="K233" i="11"/>
  <c r="K229" i="11"/>
  <c r="K70" i="11"/>
  <c r="K84" i="1"/>
  <c r="K160" i="11"/>
  <c r="K26" i="11"/>
  <c r="K136" i="11"/>
  <c r="M168" i="12"/>
  <c r="C101" i="6"/>
  <c r="C117" i="6" s="1"/>
  <c r="C122" i="6" s="1"/>
  <c r="C63" i="6"/>
  <c r="C17" i="1"/>
  <c r="C20" i="1" s="1"/>
  <c r="C51" i="8"/>
  <c r="E37" i="1"/>
  <c r="E101" i="6"/>
  <c r="E117" i="6" s="1"/>
  <c r="E122" i="6" s="1"/>
  <c r="C50" i="8"/>
  <c r="E6" i="11"/>
  <c r="E50" i="8"/>
  <c r="I209" i="11"/>
  <c r="I36" i="1"/>
  <c r="C64" i="2"/>
  <c r="C5" i="11" s="1"/>
  <c r="I13" i="9"/>
  <c r="B67" i="7"/>
  <c r="G40" i="3"/>
  <c r="G36" i="1" s="1"/>
  <c r="G231" i="11" s="1"/>
  <c r="I65" i="8"/>
  <c r="K18" i="8"/>
  <c r="K25" i="8" s="1"/>
  <c r="K22" i="8" s="1"/>
  <c r="L47" i="2"/>
  <c r="K10" i="1"/>
  <c r="K89" i="12" s="1"/>
  <c r="K377" i="12"/>
  <c r="B53" i="7"/>
  <c r="I168" i="12"/>
  <c r="B22" i="7"/>
  <c r="K51" i="2"/>
  <c r="G103" i="1"/>
  <c r="K3" i="11"/>
  <c r="G64" i="6"/>
  <c r="C25" i="9"/>
  <c r="C27" i="9" s="1"/>
  <c r="I9" i="1"/>
  <c r="I88" i="12" s="1"/>
  <c r="E43" i="2"/>
  <c r="E45" i="1" s="1"/>
  <c r="E389" i="12" s="1"/>
  <c r="E299" i="12"/>
  <c r="I210" i="12"/>
  <c r="O16" i="8"/>
  <c r="O18" i="8" s="1"/>
  <c r="O25" i="8" s="1"/>
  <c r="O21" i="8" s="1"/>
  <c r="G48" i="11"/>
  <c r="K48" i="11"/>
  <c r="G377" i="12"/>
  <c r="C16" i="8"/>
  <c r="C18" i="8" s="1"/>
  <c r="C67" i="8" s="1"/>
  <c r="H47" i="2"/>
  <c r="F16" i="8" s="1"/>
  <c r="C72" i="8"/>
  <c r="B6" i="7"/>
  <c r="B46" i="7" s="1"/>
  <c r="E229" i="11"/>
  <c r="E70" i="11"/>
  <c r="C15" i="2"/>
  <c r="C18" i="2" s="1"/>
  <c r="C18" i="6"/>
  <c r="C29" i="6" s="1"/>
  <c r="E73" i="8"/>
  <c r="E13" i="9"/>
  <c r="G13" i="9"/>
  <c r="G73" i="8"/>
  <c r="O50" i="8"/>
  <c r="I183" i="11"/>
  <c r="C10" i="8"/>
  <c r="M66" i="8"/>
  <c r="C103" i="1"/>
  <c r="E29" i="3"/>
  <c r="E163" i="11" s="1"/>
  <c r="E10" i="3"/>
  <c r="J47" i="2"/>
  <c r="F35" i="7"/>
  <c r="F63" i="7" s="1"/>
  <c r="H33" i="7"/>
  <c r="H61" i="7" s="1"/>
  <c r="I26" i="11"/>
  <c r="I70" i="11"/>
  <c r="I229" i="11"/>
  <c r="C42" i="8"/>
  <c r="I12" i="9"/>
  <c r="I63" i="6"/>
  <c r="I64" i="6" s="1"/>
  <c r="E51" i="8"/>
  <c r="C9" i="8"/>
  <c r="M50" i="8"/>
  <c r="M9" i="8"/>
  <c r="C37" i="8"/>
  <c r="C26" i="11"/>
  <c r="G37" i="1"/>
  <c r="C8" i="1"/>
  <c r="C39" i="8"/>
  <c r="E48" i="11"/>
  <c r="E23" i="3"/>
  <c r="E162" i="11" s="1"/>
  <c r="K37" i="1"/>
  <c r="G38" i="8"/>
  <c r="G66" i="8"/>
  <c r="D50" i="7" s="1"/>
  <c r="I160" i="11"/>
  <c r="F76" i="7"/>
  <c r="I91" i="11"/>
  <c r="I3" i="11"/>
  <c r="G101" i="6"/>
  <c r="G117" i="6" s="1"/>
  <c r="G122" i="6" s="1"/>
  <c r="G51" i="8"/>
  <c r="F14" i="9"/>
  <c r="E9" i="8"/>
  <c r="G8" i="8"/>
  <c r="G13" i="8" s="1"/>
  <c r="M62" i="8"/>
  <c r="M73" i="8" s="1"/>
  <c r="E24" i="2"/>
  <c r="E30" i="2" s="1"/>
  <c r="K24" i="2"/>
  <c r="K30" i="2" s="1"/>
  <c r="C376" i="12"/>
  <c r="C247" i="12"/>
  <c r="C349" i="12"/>
  <c r="G89" i="1"/>
  <c r="I216" i="12"/>
  <c r="E136" i="11"/>
  <c r="A1" i="7"/>
  <c r="E84" i="1"/>
  <c r="E26" i="11"/>
  <c r="E115" i="11"/>
  <c r="C13" i="9"/>
  <c r="C73" i="8"/>
  <c r="D22" i="7"/>
  <c r="O13" i="8"/>
  <c r="C377" i="12"/>
  <c r="E137" i="12"/>
  <c r="M17" i="1"/>
  <c r="M20" i="1" s="1"/>
  <c r="C93" i="1"/>
  <c r="C129" i="1" s="1"/>
  <c r="C102" i="1"/>
  <c r="C117" i="11" s="1"/>
  <c r="C6" i="11"/>
  <c r="B21" i="7"/>
  <c r="B76" i="7" s="1"/>
  <c r="I102" i="1"/>
  <c r="I117" i="11" s="1"/>
  <c r="K49" i="1"/>
  <c r="K123" i="1" s="1"/>
  <c r="K8" i="1"/>
  <c r="K210" i="12"/>
  <c r="C210" i="12"/>
  <c r="K297" i="12"/>
  <c r="M210" i="12"/>
  <c r="I220" i="12"/>
  <c r="G210" i="12"/>
  <c r="K293" i="12"/>
  <c r="K299" i="12" s="1"/>
  <c r="E71" i="8"/>
  <c r="E52" i="8"/>
  <c r="O7" i="8"/>
  <c r="O12" i="8" s="1"/>
  <c r="O52" i="8"/>
  <c r="O71" i="8"/>
  <c r="G52" i="8"/>
  <c r="G71" i="8"/>
  <c r="G7" i="8"/>
  <c r="E63" i="3"/>
  <c r="G63" i="3"/>
  <c r="C52" i="8"/>
  <c r="C71" i="8"/>
  <c r="M7" i="8"/>
  <c r="M12" i="8" s="1"/>
  <c r="M71" i="8"/>
  <c r="M52" i="8"/>
  <c r="I63" i="3"/>
  <c r="K63" i="3"/>
  <c r="I242" i="12"/>
  <c r="I47" i="1"/>
  <c r="I391" i="12" s="1"/>
  <c r="D35" i="7"/>
  <c r="D63" i="7" s="1"/>
  <c r="E72" i="8"/>
  <c r="M72" i="8"/>
  <c r="G9" i="8"/>
  <c r="O51" i="8"/>
  <c r="O72" i="8"/>
  <c r="O50" i="1"/>
  <c r="I16" i="12"/>
  <c r="G16" i="12"/>
  <c r="G10" i="3"/>
  <c r="E66" i="8" s="1"/>
  <c r="C242" i="12"/>
  <c r="K43" i="2"/>
  <c r="C221" i="12"/>
  <c r="G29" i="3"/>
  <c r="G163" i="11" s="1"/>
  <c r="I29" i="3"/>
  <c r="K168" i="12"/>
  <c r="I53" i="3"/>
  <c r="K53" i="3"/>
  <c r="C43" i="2"/>
  <c r="C45" i="1" s="1"/>
  <c r="C389" i="12" s="1"/>
  <c r="M9" i="1"/>
  <c r="M88" i="12" s="1"/>
  <c r="B42" i="7"/>
  <c r="K64" i="2"/>
  <c r="M11" i="1" s="1"/>
  <c r="C53" i="8"/>
  <c r="D14" i="9"/>
  <c r="I12" i="8"/>
  <c r="K12" i="8"/>
  <c r="K13" i="8"/>
  <c r="C51" i="2"/>
  <c r="E64" i="2"/>
  <c r="E11" i="1" s="1"/>
  <c r="G9" i="1"/>
  <c r="J9" i="1" s="1"/>
  <c r="I5" i="11"/>
  <c r="K9" i="1"/>
  <c r="I51" i="2"/>
  <c r="J51" i="2" s="1"/>
  <c r="G242" i="12"/>
  <c r="K242" i="12"/>
  <c r="K40" i="3"/>
  <c r="K47" i="1" s="1"/>
  <c r="K391" i="12" s="1"/>
  <c r="K29" i="3"/>
  <c r="K35" i="1" s="1"/>
  <c r="M40" i="3"/>
  <c r="M47" i="1" s="1"/>
  <c r="M391" i="12" s="1"/>
  <c r="O61" i="8"/>
  <c r="M10" i="3"/>
  <c r="G168" i="12"/>
  <c r="I45" i="11"/>
  <c r="E168" i="12"/>
  <c r="C45" i="11"/>
  <c r="C29" i="3"/>
  <c r="C163" i="11" s="1"/>
  <c r="E51" i="2"/>
  <c r="K17" i="1"/>
  <c r="K20" i="1" s="1"/>
  <c r="C299" i="12"/>
  <c r="E247" i="12"/>
  <c r="K247" i="12"/>
  <c r="M247" i="12"/>
  <c r="G14" i="12"/>
  <c r="V232" i="12"/>
  <c r="G349" i="12"/>
  <c r="C91" i="11"/>
  <c r="K39" i="8"/>
  <c r="D67" i="7"/>
  <c r="H23" i="7"/>
  <c r="K6" i="11"/>
  <c r="I12" i="3"/>
  <c r="I14" i="3" s="1"/>
  <c r="I16" i="3" s="1"/>
  <c r="C40" i="3"/>
  <c r="M89" i="1"/>
  <c r="E40" i="3"/>
  <c r="E221" i="12"/>
  <c r="G216" i="12" s="1"/>
  <c r="G221" i="12" s="1"/>
  <c r="G6" i="11"/>
  <c r="I23" i="3"/>
  <c r="G60" i="8" s="1"/>
  <c r="G160" i="11"/>
  <c r="K207" i="11"/>
  <c r="R29" i="8"/>
  <c r="D34" i="7"/>
  <c r="D62" i="7" s="1"/>
  <c r="M8" i="1"/>
  <c r="E17" i="1"/>
  <c r="E20" i="1" s="1"/>
  <c r="C23" i="3"/>
  <c r="E184" i="11"/>
  <c r="G53" i="8"/>
  <c r="I18" i="1"/>
  <c r="I20" i="1" s="1"/>
  <c r="K378" i="12"/>
  <c r="G61" i="8"/>
  <c r="C168" i="12"/>
  <c r="C233" i="12"/>
  <c r="G37" i="8"/>
  <c r="G23" i="3"/>
  <c r="G162" i="11" s="1"/>
  <c r="C37" i="1"/>
  <c r="K34" i="8"/>
  <c r="C183" i="11"/>
  <c r="I378" i="12"/>
  <c r="D21" i="7"/>
  <c r="D76" i="7" s="1"/>
  <c r="E40" i="8"/>
  <c r="I18" i="8"/>
  <c r="I25" i="8" s="1"/>
  <c r="I57" i="8" s="1"/>
  <c r="I66" i="8"/>
  <c r="E16" i="8"/>
  <c r="E18" i="8" s="1"/>
  <c r="C53" i="3"/>
  <c r="R17" i="8"/>
  <c r="F47" i="2"/>
  <c r="D16" i="8" s="1"/>
  <c r="F17" i="7"/>
  <c r="E93" i="1"/>
  <c r="E129" i="1" s="1"/>
  <c r="G184" i="11"/>
  <c r="E10" i="1"/>
  <c r="E89" i="12" s="1"/>
  <c r="C10" i="1"/>
  <c r="C89" i="12" s="1"/>
  <c r="E49" i="1"/>
  <c r="E124" i="1" s="1"/>
  <c r="C49" i="1"/>
  <c r="C119" i="1" s="1"/>
  <c r="C137" i="11" s="1"/>
  <c r="G49" i="1"/>
  <c r="G116" i="1" s="1"/>
  <c r="G92" i="11" s="1"/>
  <c r="I11" i="1"/>
  <c r="I40" i="8"/>
  <c r="K12" i="3"/>
  <c r="K14" i="3" s="1"/>
  <c r="K16" i="3" s="1"/>
  <c r="K161" i="11" s="1"/>
  <c r="K16" i="12"/>
  <c r="C70" i="11"/>
  <c r="O51" i="1"/>
  <c r="E39" i="8"/>
  <c r="E160" i="11"/>
  <c r="H35" i="7"/>
  <c r="H63" i="7" s="1"/>
  <c r="K40" i="8"/>
  <c r="F41" i="7"/>
  <c r="F23" i="7"/>
  <c r="K53" i="8"/>
  <c r="I64" i="2"/>
  <c r="J64" i="2" s="1"/>
  <c r="C115" i="11"/>
  <c r="C233" i="11"/>
  <c r="O38" i="8"/>
  <c r="M40" i="8"/>
  <c r="O42" i="8"/>
  <c r="O37" i="8"/>
  <c r="M53" i="8"/>
  <c r="M38" i="8"/>
  <c r="G40" i="8"/>
  <c r="G39" i="8"/>
  <c r="K38" i="8"/>
  <c r="K42" i="8"/>
  <c r="G84" i="1"/>
  <c r="G229" i="11"/>
  <c r="G91" i="11"/>
  <c r="E207" i="11"/>
  <c r="G115" i="11"/>
  <c r="O40" i="8"/>
  <c r="G34" i="8"/>
  <c r="H14" i="9"/>
  <c r="Q17" i="8"/>
  <c r="G53" i="3"/>
  <c r="M53" i="3"/>
  <c r="O52" i="1"/>
  <c r="H87" i="1"/>
  <c r="I6" i="11"/>
  <c r="I15" i="2"/>
  <c r="K15" i="2"/>
  <c r="K18" i="2" s="1"/>
  <c r="E349" i="12"/>
  <c r="C89" i="1"/>
  <c r="C24" i="2"/>
  <c r="I49" i="1"/>
  <c r="I122" i="1" s="1"/>
  <c r="I139" i="11" s="1"/>
  <c r="M49" i="1"/>
  <c r="M29" i="1" s="1"/>
  <c r="I219" i="12"/>
  <c r="E210" i="12"/>
  <c r="O73" i="8"/>
  <c r="I14" i="12"/>
  <c r="K14" i="12"/>
  <c r="I37" i="8"/>
  <c r="G25" i="9"/>
  <c r="G27" i="9" s="1"/>
  <c r="I53" i="8"/>
  <c r="I39" i="8"/>
  <c r="I38" i="8"/>
  <c r="I42" i="8"/>
  <c r="K66" i="8"/>
  <c r="E37" i="8"/>
  <c r="E34" i="8"/>
  <c r="E42" i="8"/>
  <c r="E53" i="8"/>
  <c r="E38" i="8"/>
  <c r="F87" i="1"/>
  <c r="H66" i="7"/>
  <c r="H34" i="7"/>
  <c r="H62" i="7" s="1"/>
  <c r="K73" i="8"/>
  <c r="K65" i="8"/>
  <c r="R10" i="8"/>
  <c r="M13" i="8"/>
  <c r="R15" i="8"/>
  <c r="Q15" i="8"/>
  <c r="G89" i="12"/>
  <c r="E53" i="3"/>
  <c r="I89" i="12"/>
  <c r="H38" i="7"/>
  <c r="H65" i="7" s="1"/>
  <c r="H69" i="7"/>
  <c r="D17" i="7"/>
  <c r="H76" i="7"/>
  <c r="E25" i="9"/>
  <c r="E27" i="9" s="1"/>
  <c r="G88" i="1"/>
  <c r="C184" i="11"/>
  <c r="K102" i="1"/>
  <c r="I29" i="1" l="1"/>
  <c r="I250" i="12"/>
  <c r="I248" i="12"/>
  <c r="Q61" i="8"/>
  <c r="F8" i="1"/>
  <c r="E98" i="12"/>
  <c r="I14" i="9"/>
  <c r="I15" i="9" s="1"/>
  <c r="I17" i="9" s="1"/>
  <c r="R61" i="8"/>
  <c r="G12" i="8"/>
  <c r="K57" i="8"/>
  <c r="K23" i="8"/>
  <c r="J37" i="1"/>
  <c r="K21" i="8"/>
  <c r="L53" i="3"/>
  <c r="K56" i="8"/>
  <c r="R9" i="8"/>
  <c r="E11" i="12"/>
  <c r="K20" i="8"/>
  <c r="C60" i="8"/>
  <c r="C65" i="8" s="1"/>
  <c r="I38" i="1"/>
  <c r="I315" i="12" s="1"/>
  <c r="H8" i="1"/>
  <c r="Q9" i="8"/>
  <c r="F9" i="1"/>
  <c r="O60" i="8"/>
  <c r="O65" i="8" s="1"/>
  <c r="L37" i="1"/>
  <c r="F89" i="1"/>
  <c r="H89" i="1"/>
  <c r="E100" i="12"/>
  <c r="E90" i="1"/>
  <c r="R62" i="8"/>
  <c r="J43" i="2"/>
  <c r="I53" i="2"/>
  <c r="I66" i="2" s="1"/>
  <c r="K117" i="1"/>
  <c r="K93" i="11" s="1"/>
  <c r="K284" i="12"/>
  <c r="K287" i="12"/>
  <c r="L40" i="3"/>
  <c r="K209" i="11"/>
  <c r="L16" i="3"/>
  <c r="K32" i="1"/>
  <c r="G122" i="1"/>
  <c r="G139" i="11" s="1"/>
  <c r="D68" i="7"/>
  <c r="C117" i="1"/>
  <c r="C93" i="11" s="1"/>
  <c r="L43" i="2"/>
  <c r="J8" i="1"/>
  <c r="K119" i="1"/>
  <c r="K137" i="11" s="1"/>
  <c r="G87" i="12"/>
  <c r="K121" i="1"/>
  <c r="K116" i="1"/>
  <c r="K92" i="11" s="1"/>
  <c r="K252" i="12"/>
  <c r="K12" i="12"/>
  <c r="K243" i="12"/>
  <c r="G25" i="8"/>
  <c r="G20" i="8" s="1"/>
  <c r="K98" i="12"/>
  <c r="I98" i="12"/>
  <c r="K118" i="1"/>
  <c r="K94" i="11" s="1"/>
  <c r="K120" i="1"/>
  <c r="K29" i="1"/>
  <c r="E54" i="1"/>
  <c r="E390" i="12" s="1"/>
  <c r="G98" i="12"/>
  <c r="K31" i="1"/>
  <c r="K122" i="1"/>
  <c r="K139" i="11" s="1"/>
  <c r="K93" i="1"/>
  <c r="K129" i="1" s="1"/>
  <c r="J30" i="2"/>
  <c r="K36" i="1"/>
  <c r="K128" i="1" s="1"/>
  <c r="C167" i="12"/>
  <c r="C64" i="6"/>
  <c r="G30" i="1"/>
  <c r="G256" i="12" s="1"/>
  <c r="I11" i="12"/>
  <c r="G88" i="12"/>
  <c r="C248" i="12"/>
  <c r="G119" i="1"/>
  <c r="G137" i="11" s="1"/>
  <c r="L23" i="3"/>
  <c r="O10" i="1"/>
  <c r="K47" i="11"/>
  <c r="N53" i="3"/>
  <c r="N40" i="3"/>
  <c r="L24" i="2"/>
  <c r="B35" i="7"/>
  <c r="B63" i="7" s="1"/>
  <c r="C87" i="12"/>
  <c r="G12" i="3"/>
  <c r="G14" i="3" s="1"/>
  <c r="G16" i="3" s="1"/>
  <c r="J16" i="3" s="1"/>
  <c r="K11" i="1"/>
  <c r="K27" i="1" s="1"/>
  <c r="K97" i="12" s="1"/>
  <c r="J24" i="2"/>
  <c r="G241" i="12"/>
  <c r="J53" i="3"/>
  <c r="L8" i="1"/>
  <c r="N23" i="3"/>
  <c r="D11" i="7"/>
  <c r="G132" i="1"/>
  <c r="G118" i="1"/>
  <c r="G94" i="11" s="1"/>
  <c r="M60" i="8"/>
  <c r="M65" i="8" s="1"/>
  <c r="K241" i="12"/>
  <c r="B17" i="7"/>
  <c r="H43" i="2"/>
  <c r="L51" i="2"/>
  <c r="N9" i="1"/>
  <c r="O57" i="8"/>
  <c r="O20" i="8"/>
  <c r="O56" i="8"/>
  <c r="M254" i="12"/>
  <c r="O23" i="8"/>
  <c r="O22" i="8"/>
  <c r="M30" i="1"/>
  <c r="M256" i="12" s="1"/>
  <c r="M93" i="1"/>
  <c r="M129" i="1" s="1"/>
  <c r="N49" i="1"/>
  <c r="H40" i="3"/>
  <c r="M36" i="1"/>
  <c r="M128" i="1" s="1"/>
  <c r="E60" i="8"/>
  <c r="E12" i="9" s="1"/>
  <c r="E14" i="9" s="1"/>
  <c r="E15" i="9" s="1"/>
  <c r="E17" i="9" s="1"/>
  <c r="C11" i="1"/>
  <c r="F11" i="1" s="1"/>
  <c r="E46" i="1"/>
  <c r="E388" i="12" s="1"/>
  <c r="E53" i="2"/>
  <c r="E90" i="12" s="1"/>
  <c r="J36" i="1"/>
  <c r="J40" i="3"/>
  <c r="B34" i="7"/>
  <c r="B62" i="7" s="1"/>
  <c r="G128" i="1"/>
  <c r="G47" i="1"/>
  <c r="G391" i="12" s="1"/>
  <c r="G209" i="11"/>
  <c r="G38" i="1"/>
  <c r="G315" i="12" s="1"/>
  <c r="J29" i="3"/>
  <c r="B38" i="7"/>
  <c r="B65" i="7" s="1"/>
  <c r="G133" i="12"/>
  <c r="G132" i="12"/>
  <c r="K131" i="1"/>
  <c r="I121" i="1"/>
  <c r="O37" i="1"/>
  <c r="L10" i="1"/>
  <c r="K88" i="12"/>
  <c r="I132" i="1"/>
  <c r="L30" i="2"/>
  <c r="B56" i="7"/>
  <c r="K245" i="12"/>
  <c r="K27" i="11"/>
  <c r="B33" i="7"/>
  <c r="B61" i="7" s="1"/>
  <c r="K248" i="12"/>
  <c r="K286" i="12"/>
  <c r="K283" i="12"/>
  <c r="H29" i="3"/>
  <c r="F64" i="2"/>
  <c r="B68" i="7"/>
  <c r="K53" i="2"/>
  <c r="G243" i="12"/>
  <c r="C25" i="8"/>
  <c r="C57" i="8" s="1"/>
  <c r="K124" i="1"/>
  <c r="N10" i="1"/>
  <c r="I231" i="11"/>
  <c r="I128" i="1"/>
  <c r="M27" i="1"/>
  <c r="M97" i="12" s="1"/>
  <c r="C121" i="1"/>
  <c r="K132" i="1"/>
  <c r="C8" i="8"/>
  <c r="C13" i="8" s="1"/>
  <c r="F49" i="1"/>
  <c r="C31" i="3"/>
  <c r="C42" i="3" s="1"/>
  <c r="C46" i="3" s="1"/>
  <c r="C59" i="3" s="1"/>
  <c r="G45" i="1"/>
  <c r="G389" i="12" s="1"/>
  <c r="J23" i="3"/>
  <c r="M98" i="12"/>
  <c r="E35" i="1"/>
  <c r="B23" i="7"/>
  <c r="R7" i="8"/>
  <c r="E167" i="12"/>
  <c r="E32" i="2"/>
  <c r="E99" i="1" s="1"/>
  <c r="C32" i="1"/>
  <c r="C27" i="11"/>
  <c r="C122" i="1"/>
  <c r="C139" i="11" s="1"/>
  <c r="C118" i="1"/>
  <c r="C94" i="11" s="1"/>
  <c r="C245" i="12"/>
  <c r="C30" i="1"/>
  <c r="C256" i="12" s="1"/>
  <c r="C254" i="12"/>
  <c r="E126" i="12"/>
  <c r="K100" i="12"/>
  <c r="E127" i="12"/>
  <c r="C66" i="8"/>
  <c r="C68" i="8" s="1"/>
  <c r="E12" i="3"/>
  <c r="E14" i="3" s="1"/>
  <c r="E16" i="3" s="1"/>
  <c r="M132" i="1"/>
  <c r="K11" i="12"/>
  <c r="L49" i="1"/>
  <c r="I252" i="12"/>
  <c r="K90" i="1"/>
  <c r="R8" i="8"/>
  <c r="H64" i="2"/>
  <c r="H18" i="2"/>
  <c r="G32" i="1"/>
  <c r="G245" i="12"/>
  <c r="K67" i="8"/>
  <c r="K68" i="8" s="1"/>
  <c r="L64" i="2"/>
  <c r="E47" i="11"/>
  <c r="F23" i="3"/>
  <c r="M45" i="1"/>
  <c r="M389" i="12" s="1"/>
  <c r="Q62" i="8"/>
  <c r="K54" i="1"/>
  <c r="K390" i="12" s="1"/>
  <c r="O8" i="1"/>
  <c r="I67" i="8"/>
  <c r="I68" i="8" s="1"/>
  <c r="L9" i="1"/>
  <c r="E5" i="11"/>
  <c r="G46" i="1"/>
  <c r="G388" i="12" s="1"/>
  <c r="G250" i="12"/>
  <c r="I31" i="1"/>
  <c r="I93" i="1"/>
  <c r="I129" i="1" s="1"/>
  <c r="I116" i="1"/>
  <c r="I92" i="11" s="1"/>
  <c r="G120" i="1"/>
  <c r="C11" i="12"/>
  <c r="G248" i="12"/>
  <c r="M167" i="12"/>
  <c r="I34" i="1"/>
  <c r="I312" i="12" s="1"/>
  <c r="M54" i="1"/>
  <c r="M390" i="12" s="1"/>
  <c r="C47" i="11"/>
  <c r="O49" i="1"/>
  <c r="O248" i="12" s="1"/>
  <c r="C252" i="12"/>
  <c r="C116" i="1"/>
  <c r="C92" i="11" s="1"/>
  <c r="G35" i="1"/>
  <c r="O35" i="1" s="1"/>
  <c r="H23" i="3"/>
  <c r="N29" i="3"/>
  <c r="K285" i="12"/>
  <c r="G67" i="8"/>
  <c r="D51" i="7" s="1"/>
  <c r="D82" i="7" s="1"/>
  <c r="E67" i="8"/>
  <c r="E68" i="8" s="1"/>
  <c r="I118" i="1"/>
  <c r="I94" i="11" s="1"/>
  <c r="I30" i="1"/>
  <c r="I256" i="12" s="1"/>
  <c r="I32" i="1"/>
  <c r="C90" i="1"/>
  <c r="Q18" i="8"/>
  <c r="K5" i="11"/>
  <c r="M118" i="1"/>
  <c r="M116" i="1"/>
  <c r="G254" i="12"/>
  <c r="G12" i="12"/>
  <c r="O9" i="1"/>
  <c r="K163" i="11"/>
  <c r="G124" i="1"/>
  <c r="E123" i="1"/>
  <c r="K87" i="12"/>
  <c r="I123" i="1"/>
  <c r="I124" i="1"/>
  <c r="C123" i="1"/>
  <c r="C99" i="12"/>
  <c r="M123" i="1"/>
  <c r="M124" i="1"/>
  <c r="G123" i="1"/>
  <c r="M117" i="1"/>
  <c r="M245" i="12"/>
  <c r="C124" i="1"/>
  <c r="E99" i="12"/>
  <c r="I27" i="11"/>
  <c r="J49" i="1"/>
  <c r="I117" i="1"/>
  <c r="I93" i="11" s="1"/>
  <c r="M122" i="1"/>
  <c r="H49" i="1"/>
  <c r="G93" i="1"/>
  <c r="G99" i="12" s="1"/>
  <c r="C29" i="1"/>
  <c r="I131" i="1"/>
  <c r="I245" i="12"/>
  <c r="G121" i="1"/>
  <c r="M250" i="12"/>
  <c r="E27" i="1"/>
  <c r="E97" i="12" s="1"/>
  <c r="G117" i="1"/>
  <c r="G93" i="11" s="1"/>
  <c r="G31" i="1"/>
  <c r="C250" i="12"/>
  <c r="E123" i="12"/>
  <c r="C243" i="12"/>
  <c r="C241" i="12"/>
  <c r="C100" i="12"/>
  <c r="M119" i="1"/>
  <c r="G29" i="1"/>
  <c r="G27" i="11"/>
  <c r="C12" i="12"/>
  <c r="C120" i="1"/>
  <c r="G131" i="1"/>
  <c r="C31" i="1"/>
  <c r="E25" i="8"/>
  <c r="C30" i="9" s="1"/>
  <c r="C32" i="9" s="1"/>
  <c r="G116" i="12"/>
  <c r="G114" i="12"/>
  <c r="G115" i="12"/>
  <c r="G113" i="12"/>
  <c r="G134" i="12"/>
  <c r="G136" i="12"/>
  <c r="G135" i="12"/>
  <c r="K282" i="12"/>
  <c r="K250" i="12"/>
  <c r="K254" i="12"/>
  <c r="I90" i="1"/>
  <c r="I282" i="12"/>
  <c r="I288" i="12" s="1"/>
  <c r="I284" i="12"/>
  <c r="I286" i="12"/>
  <c r="I283" i="12"/>
  <c r="I285" i="12"/>
  <c r="I287" i="12"/>
  <c r="C282" i="12"/>
  <c r="C284" i="12"/>
  <c r="C286" i="12"/>
  <c r="C283" i="12"/>
  <c r="C285" i="12"/>
  <c r="C287" i="12"/>
  <c r="E120" i="1"/>
  <c r="E282" i="12"/>
  <c r="E284" i="12"/>
  <c r="E286" i="12"/>
  <c r="E283" i="12"/>
  <c r="E285" i="12"/>
  <c r="E287" i="12"/>
  <c r="M282" i="12"/>
  <c r="M284" i="12"/>
  <c r="M286" i="12"/>
  <c r="M283" i="12"/>
  <c r="M285" i="12"/>
  <c r="M287" i="12"/>
  <c r="G252" i="12"/>
  <c r="G282" i="12"/>
  <c r="G284" i="12"/>
  <c r="G286" i="12"/>
  <c r="G283" i="12"/>
  <c r="G285" i="12"/>
  <c r="G287" i="12"/>
  <c r="L29" i="3"/>
  <c r="M100" i="12"/>
  <c r="H51" i="2"/>
  <c r="F51" i="2"/>
  <c r="C35" i="1"/>
  <c r="F29" i="3"/>
  <c r="E245" i="12"/>
  <c r="H9" i="1"/>
  <c r="M12" i="3"/>
  <c r="M14" i="3" s="1"/>
  <c r="M16" i="3" s="1"/>
  <c r="O66" i="8"/>
  <c r="F43" i="2"/>
  <c r="C53" i="2"/>
  <c r="I163" i="11"/>
  <c r="I35" i="1"/>
  <c r="M90" i="1"/>
  <c r="E29" i="1"/>
  <c r="E27" i="11"/>
  <c r="E252" i="12"/>
  <c r="E31" i="1"/>
  <c r="E32" i="1"/>
  <c r="E116" i="1"/>
  <c r="E92" i="11" s="1"/>
  <c r="E117" i="1"/>
  <c r="E118" i="1"/>
  <c r="E12" i="12"/>
  <c r="E119" i="1"/>
  <c r="E137" i="11" s="1"/>
  <c r="E122" i="1"/>
  <c r="E139" i="11" s="1"/>
  <c r="E250" i="12"/>
  <c r="D33" i="7"/>
  <c r="D61" i="7" s="1"/>
  <c r="D38" i="7"/>
  <c r="D65" i="7" s="1"/>
  <c r="D23" i="7"/>
  <c r="I45" i="1"/>
  <c r="I389" i="12" s="1"/>
  <c r="F40" i="3"/>
  <c r="E36" i="1"/>
  <c r="E47" i="1"/>
  <c r="E391" i="12" s="1"/>
  <c r="E209" i="11"/>
  <c r="C47" i="1"/>
  <c r="C391" i="12" s="1"/>
  <c r="C209" i="11"/>
  <c r="C36" i="1"/>
  <c r="C54" i="1"/>
  <c r="C390" i="12" s="1"/>
  <c r="E241" i="12"/>
  <c r="E254" i="12"/>
  <c r="E243" i="12"/>
  <c r="C162" i="11"/>
  <c r="C34" i="1"/>
  <c r="M87" i="12"/>
  <c r="N8" i="1"/>
  <c r="B11" i="7"/>
  <c r="G5" i="11"/>
  <c r="E8" i="8"/>
  <c r="G11" i="1"/>
  <c r="H11" i="1" s="1"/>
  <c r="D57" i="7"/>
  <c r="I162" i="11"/>
  <c r="G218" i="12"/>
  <c r="G219" i="12"/>
  <c r="G220" i="12"/>
  <c r="G217" i="12"/>
  <c r="B57" i="7"/>
  <c r="D49" i="7"/>
  <c r="D80" i="7" s="1"/>
  <c r="E248" i="12"/>
  <c r="E121" i="1"/>
  <c r="E30" i="1"/>
  <c r="M252" i="12"/>
  <c r="M32" i="1"/>
  <c r="M31" i="1"/>
  <c r="M131" i="1"/>
  <c r="G47" i="11"/>
  <c r="H24" i="2"/>
  <c r="G167" i="12"/>
  <c r="E125" i="12"/>
  <c r="G112" i="12"/>
  <c r="E124" i="12"/>
  <c r="K167" i="12"/>
  <c r="I18" i="2"/>
  <c r="L18" i="2" s="1"/>
  <c r="K31" i="3"/>
  <c r="K34" i="1"/>
  <c r="I27" i="1"/>
  <c r="I97" i="12" s="1"/>
  <c r="I100" i="12"/>
  <c r="M120" i="1"/>
  <c r="M243" i="12"/>
  <c r="M121" i="1"/>
  <c r="C98" i="12"/>
  <c r="I120" i="1"/>
  <c r="I119" i="1"/>
  <c r="I137" i="11" s="1"/>
  <c r="I54" i="1"/>
  <c r="I390" i="12" s="1"/>
  <c r="I12" i="12"/>
  <c r="I241" i="12"/>
  <c r="C30" i="2"/>
  <c r="F30" i="2" s="1"/>
  <c r="F24" i="2"/>
  <c r="M25" i="8"/>
  <c r="M56" i="8" s="1"/>
  <c r="M241" i="12"/>
  <c r="I243" i="12"/>
  <c r="I254" i="12"/>
  <c r="M248" i="12"/>
  <c r="D48" i="7"/>
  <c r="D79" i="7" s="1"/>
  <c r="G65" i="8"/>
  <c r="G12" i="9"/>
  <c r="G14" i="9" s="1"/>
  <c r="G15" i="9" s="1"/>
  <c r="G17" i="9" s="1"/>
  <c r="C46" i="1"/>
  <c r="C388" i="12" s="1"/>
  <c r="I167" i="12"/>
  <c r="I47" i="11"/>
  <c r="F53" i="3"/>
  <c r="H53" i="3"/>
  <c r="G11" i="12"/>
  <c r="F18" i="2"/>
  <c r="K117" i="11"/>
  <c r="K30" i="1"/>
  <c r="I161" i="11"/>
  <c r="D32" i="7"/>
  <c r="I31" i="3"/>
  <c r="G54" i="1"/>
  <c r="G390" i="12" s="1"/>
  <c r="M46" i="1"/>
  <c r="M388" i="12" s="1"/>
  <c r="K32" i="2"/>
  <c r="R18" i="8"/>
  <c r="O67" i="8"/>
  <c r="M67" i="8"/>
  <c r="M68" i="8" s="1"/>
  <c r="I20" i="8"/>
  <c r="G20" i="9"/>
  <c r="G22" i="9" s="1"/>
  <c r="I21" i="8"/>
  <c r="I20" i="9"/>
  <c r="I22" i="9" s="1"/>
  <c r="I30" i="9"/>
  <c r="I32" i="9" s="1"/>
  <c r="G30" i="9"/>
  <c r="G32" i="9" s="1"/>
  <c r="I23" i="8"/>
  <c r="G90" i="1"/>
  <c r="I22" i="8"/>
  <c r="I56" i="8"/>
  <c r="G100" i="12"/>
  <c r="E40" i="12" l="1"/>
  <c r="R60" i="8"/>
  <c r="K99" i="12"/>
  <c r="D19" i="7"/>
  <c r="G138" i="11"/>
  <c r="G296" i="12"/>
  <c r="G57" i="8"/>
  <c r="C12" i="9"/>
  <c r="C14" i="9" s="1"/>
  <c r="C15" i="9" s="1"/>
  <c r="C17" i="9" s="1"/>
  <c r="M38" i="1"/>
  <c r="K40" i="12"/>
  <c r="I230" i="11"/>
  <c r="K133" i="1"/>
  <c r="I42" i="1"/>
  <c r="I234" i="11" s="1"/>
  <c r="K90" i="12"/>
  <c r="C21" i="8"/>
  <c r="E30" i="9"/>
  <c r="E32" i="9" s="1"/>
  <c r="G34" i="1"/>
  <c r="G312" i="12" s="1"/>
  <c r="K288" i="12"/>
  <c r="N11" i="1"/>
  <c r="G117" i="12"/>
  <c r="L53" i="2"/>
  <c r="K231" i="11"/>
  <c r="L36" i="1"/>
  <c r="O36" i="1"/>
  <c r="K38" i="1"/>
  <c r="K42" i="1" s="1"/>
  <c r="K234" i="11" s="1"/>
  <c r="O254" i="12"/>
  <c r="D16" i="7"/>
  <c r="D74" i="7" s="1"/>
  <c r="O252" i="12"/>
  <c r="G288" i="12"/>
  <c r="L11" i="1"/>
  <c r="E66" i="2"/>
  <c r="E73" i="2" s="1"/>
  <c r="E20" i="9"/>
  <c r="E22" i="9" s="1"/>
  <c r="C27" i="1"/>
  <c r="C97" i="12" s="1"/>
  <c r="F19" i="7"/>
  <c r="G23" i="8"/>
  <c r="G21" i="8"/>
  <c r="F15" i="7"/>
  <c r="F73" i="7" s="1"/>
  <c r="G56" i="8"/>
  <c r="G22" i="8"/>
  <c r="B48" i="7"/>
  <c r="B79" i="7" s="1"/>
  <c r="G161" i="11"/>
  <c r="G295" i="12"/>
  <c r="H16" i="3"/>
  <c r="G31" i="3"/>
  <c r="J31" i="3" s="1"/>
  <c r="I40" i="12"/>
  <c r="H35" i="1"/>
  <c r="B32" i="7"/>
  <c r="E65" i="8"/>
  <c r="B49" i="7" s="1"/>
  <c r="B80" i="7" s="1"/>
  <c r="O38" i="1"/>
  <c r="G133" i="1"/>
  <c r="Q60" i="8"/>
  <c r="I138" i="11"/>
  <c r="F35" i="1"/>
  <c r="G68" i="8"/>
  <c r="D52" i="7" s="1"/>
  <c r="L34" i="1"/>
  <c r="I133" i="1"/>
  <c r="K66" i="2"/>
  <c r="K73" i="2" s="1"/>
  <c r="O68" i="8"/>
  <c r="G294" i="12"/>
  <c r="M90" i="12"/>
  <c r="M133" i="1"/>
  <c r="G137" i="12"/>
  <c r="G293" i="12"/>
  <c r="M99" i="12"/>
  <c r="M288" i="12"/>
  <c r="G298" i="12"/>
  <c r="G297" i="12"/>
  <c r="C208" i="11"/>
  <c r="C40" i="12"/>
  <c r="J38" i="1"/>
  <c r="H53" i="2"/>
  <c r="G90" i="12"/>
  <c r="G41" i="12"/>
  <c r="O241" i="12"/>
  <c r="O245" i="12"/>
  <c r="C23" i="8"/>
  <c r="C20" i="9"/>
  <c r="C22" i="9" s="1"/>
  <c r="O250" i="12"/>
  <c r="D15" i="7"/>
  <c r="D73" i="7" s="1"/>
  <c r="C22" i="8"/>
  <c r="O243" i="12"/>
  <c r="C20" i="8"/>
  <c r="E288" i="12"/>
  <c r="I99" i="12"/>
  <c r="L66" i="2"/>
  <c r="E98" i="1"/>
  <c r="E24" i="1"/>
  <c r="C7" i="8"/>
  <c r="C12" i="8" s="1"/>
  <c r="E7" i="1"/>
  <c r="E13" i="1" s="1"/>
  <c r="E95" i="12" s="1"/>
  <c r="E169" i="12"/>
  <c r="E171" i="12" s="1"/>
  <c r="E100" i="1"/>
  <c r="E4" i="11"/>
  <c r="E22" i="1"/>
  <c r="E23" i="1"/>
  <c r="C138" i="11"/>
  <c r="C288" i="12"/>
  <c r="C41" i="12"/>
  <c r="E23" i="8"/>
  <c r="E22" i="8"/>
  <c r="Q25" i="8"/>
  <c r="F16" i="7"/>
  <c r="F74" i="7" s="1"/>
  <c r="I39" i="1"/>
  <c r="I40" i="1" s="1"/>
  <c r="K41" i="12"/>
  <c r="E34" i="1"/>
  <c r="E31" i="3"/>
  <c r="F16" i="3"/>
  <c r="E161" i="11"/>
  <c r="E20" i="8"/>
  <c r="E41" i="12"/>
  <c r="O11" i="1"/>
  <c r="I41" i="12"/>
  <c r="G129" i="1"/>
  <c r="E21" i="8"/>
  <c r="E57" i="8"/>
  <c r="M21" i="8"/>
  <c r="M63" i="3"/>
  <c r="M23" i="8"/>
  <c r="M20" i="8"/>
  <c r="M57" i="8"/>
  <c r="C32" i="2"/>
  <c r="F32" i="2" s="1"/>
  <c r="M34" i="1"/>
  <c r="N16" i="3"/>
  <c r="M31" i="3"/>
  <c r="R25" i="8"/>
  <c r="M22" i="8"/>
  <c r="J35" i="1"/>
  <c r="L35" i="1"/>
  <c r="C66" i="2"/>
  <c r="F53" i="2"/>
  <c r="C90" i="12"/>
  <c r="E13" i="8"/>
  <c r="Q8" i="8"/>
  <c r="E38" i="1"/>
  <c r="E231" i="11"/>
  <c r="F36" i="1"/>
  <c r="H36" i="1"/>
  <c r="E128" i="1"/>
  <c r="E93" i="11"/>
  <c r="B15" i="7"/>
  <c r="B73" i="7" s="1"/>
  <c r="B19" i="7"/>
  <c r="E256" i="12"/>
  <c r="E138" i="11"/>
  <c r="J11" i="1"/>
  <c r="G27" i="1"/>
  <c r="G97" i="12" s="1"/>
  <c r="C312" i="12"/>
  <c r="C230" i="11"/>
  <c r="I90" i="12"/>
  <c r="J53" i="2"/>
  <c r="J66" i="2"/>
  <c r="C38" i="1"/>
  <c r="C315" i="12" s="1"/>
  <c r="C231" i="11"/>
  <c r="C128" i="1"/>
  <c r="B16" i="7"/>
  <c r="B74" i="7" s="1"/>
  <c r="E94" i="11"/>
  <c r="K230" i="11"/>
  <c r="K312" i="12"/>
  <c r="I32" i="2"/>
  <c r="L32" i="2" s="1"/>
  <c r="K46" i="1"/>
  <c r="K388" i="12" s="1"/>
  <c r="C64" i="3"/>
  <c r="C72" i="3"/>
  <c r="K208" i="11"/>
  <c r="K42" i="3"/>
  <c r="K46" i="3" s="1"/>
  <c r="K59" i="3" s="1"/>
  <c r="H30" i="2"/>
  <c r="G73" i="2"/>
  <c r="G40" i="12"/>
  <c r="I320" i="12"/>
  <c r="I314" i="12"/>
  <c r="I316" i="12" s="1"/>
  <c r="I318" i="12" s="1"/>
  <c r="M23" i="1"/>
  <c r="M98" i="1"/>
  <c r="M7" i="1"/>
  <c r="M169" i="12"/>
  <c r="M171" i="12" s="1"/>
  <c r="M100" i="1"/>
  <c r="M24" i="1"/>
  <c r="M99" i="1"/>
  <c r="M22" i="1"/>
  <c r="I42" i="3"/>
  <c r="I208" i="11"/>
  <c r="L31" i="3"/>
  <c r="K138" i="11"/>
  <c r="K256" i="12"/>
  <c r="I46" i="1"/>
  <c r="I388" i="12" s="1"/>
  <c r="D56" i="7"/>
  <c r="J18" i="2"/>
  <c r="D55" i="7"/>
  <c r="O34" i="1" l="1"/>
  <c r="G39" i="1"/>
  <c r="J39" i="1" s="1"/>
  <c r="H34" i="1"/>
  <c r="I136" i="1"/>
  <c r="G42" i="1"/>
  <c r="G234" i="11" s="1"/>
  <c r="J34" i="1"/>
  <c r="G230" i="11"/>
  <c r="G42" i="3"/>
  <c r="H66" i="2"/>
  <c r="F66" i="2"/>
  <c r="G208" i="11"/>
  <c r="H31" i="3"/>
  <c r="M39" i="1"/>
  <c r="M136" i="1" s="1"/>
  <c r="K39" i="1"/>
  <c r="O39" i="1" s="1"/>
  <c r="K315" i="12"/>
  <c r="K320" i="12" s="1"/>
  <c r="L38" i="1"/>
  <c r="C98" i="1"/>
  <c r="C22" i="1"/>
  <c r="G299" i="12"/>
  <c r="F34" i="1"/>
  <c r="E97" i="1"/>
  <c r="M64" i="8"/>
  <c r="E15" i="1"/>
  <c r="E14" i="1"/>
  <c r="E96" i="12" s="1"/>
  <c r="E25" i="1"/>
  <c r="C169" i="12"/>
  <c r="C171" i="12" s="1"/>
  <c r="C73" i="2"/>
  <c r="C100" i="1"/>
  <c r="C24" i="1"/>
  <c r="C99" i="1"/>
  <c r="C7" i="1"/>
  <c r="F7" i="1" s="1"/>
  <c r="C4" i="11"/>
  <c r="C23" i="1"/>
  <c r="E230" i="11"/>
  <c r="E312" i="12"/>
  <c r="E314" i="12" s="1"/>
  <c r="E208" i="11"/>
  <c r="E42" i="3"/>
  <c r="F31" i="3"/>
  <c r="M42" i="1"/>
  <c r="N31" i="3"/>
  <c r="M42" i="3"/>
  <c r="C42" i="1"/>
  <c r="C234" i="11" s="1"/>
  <c r="C314" i="12"/>
  <c r="C316" i="12" s="1"/>
  <c r="C318" i="12" s="1"/>
  <c r="C320" i="12"/>
  <c r="E315" i="12"/>
  <c r="E42" i="1"/>
  <c r="E234" i="11" s="1"/>
  <c r="E39" i="1"/>
  <c r="C39" i="1"/>
  <c r="B36" i="7"/>
  <c r="B64" i="7" s="1"/>
  <c r="G24" i="1"/>
  <c r="G98" i="1"/>
  <c r="G99" i="1"/>
  <c r="G4" i="11"/>
  <c r="B37" i="7"/>
  <c r="G7" i="1"/>
  <c r="E7" i="8"/>
  <c r="B55" i="7"/>
  <c r="G22" i="1"/>
  <c r="B8" i="7"/>
  <c r="G23" i="1"/>
  <c r="B9" i="7"/>
  <c r="B70" i="7" s="1"/>
  <c r="B10" i="7"/>
  <c r="G169" i="12"/>
  <c r="G171" i="12" s="1"/>
  <c r="B71" i="7"/>
  <c r="G100" i="1"/>
  <c r="H32" i="2"/>
  <c r="B12" i="7"/>
  <c r="K100" i="1"/>
  <c r="K99" i="1"/>
  <c r="K23" i="1"/>
  <c r="K4" i="11"/>
  <c r="K7" i="1"/>
  <c r="N7" i="1" s="1"/>
  <c r="I73" i="2"/>
  <c r="K24" i="1"/>
  <c r="K169" i="12"/>
  <c r="K171" i="12" s="1"/>
  <c r="K22" i="1"/>
  <c r="K98" i="1"/>
  <c r="K319" i="12"/>
  <c r="K314" i="12"/>
  <c r="G46" i="3"/>
  <c r="M25" i="1"/>
  <c r="G320" i="12"/>
  <c r="G314" i="12"/>
  <c r="G316" i="12" s="1"/>
  <c r="G318" i="12" s="1"/>
  <c r="J42" i="3"/>
  <c r="I46" i="3"/>
  <c r="L42" i="3"/>
  <c r="M40" i="1"/>
  <c r="K64" i="3"/>
  <c r="K72" i="3"/>
  <c r="I319" i="12"/>
  <c r="D8" i="7"/>
  <c r="I23" i="1"/>
  <c r="D12" i="7"/>
  <c r="I22" i="1"/>
  <c r="I25" i="1" s="1"/>
  <c r="I7" i="1"/>
  <c r="D9" i="7"/>
  <c r="D70" i="7" s="1"/>
  <c r="I24" i="1"/>
  <c r="I99" i="1"/>
  <c r="I169" i="12"/>
  <c r="I171" i="12" s="1"/>
  <c r="I98" i="1"/>
  <c r="D10" i="7"/>
  <c r="D37" i="7"/>
  <c r="I4" i="11"/>
  <c r="I100" i="1"/>
  <c r="D36" i="7"/>
  <c r="D64" i="7" s="1"/>
  <c r="D71" i="7"/>
  <c r="J32" i="2"/>
  <c r="M97" i="1"/>
  <c r="M14" i="1"/>
  <c r="M96" i="12" s="1"/>
  <c r="M15" i="1"/>
  <c r="M13" i="1"/>
  <c r="M95" i="12" s="1"/>
  <c r="G40" i="1" l="1"/>
  <c r="H39" i="1"/>
  <c r="G136" i="1"/>
  <c r="K40" i="1"/>
  <c r="L40" i="1" s="1"/>
  <c r="L39" i="1"/>
  <c r="K136" i="1"/>
  <c r="K316" i="12"/>
  <c r="K318" i="12" s="1"/>
  <c r="G25" i="1"/>
  <c r="C25" i="1"/>
  <c r="C14" i="1"/>
  <c r="C96" i="12" s="1"/>
  <c r="G319" i="12"/>
  <c r="E319" i="12"/>
  <c r="C97" i="1"/>
  <c r="C13" i="1"/>
  <c r="C95" i="12" s="1"/>
  <c r="C15" i="1"/>
  <c r="E46" i="3"/>
  <c r="H46" i="3" s="1"/>
  <c r="F42" i="3"/>
  <c r="H42" i="3"/>
  <c r="N42" i="3"/>
  <c r="M46" i="3"/>
  <c r="C136" i="1"/>
  <c r="C40" i="1"/>
  <c r="F39" i="1"/>
  <c r="E136" i="1"/>
  <c r="E40" i="1"/>
  <c r="H40" i="1" s="1"/>
  <c r="E320" i="12"/>
  <c r="E316" i="12"/>
  <c r="E318" i="12" s="1"/>
  <c r="G14" i="1"/>
  <c r="G96" i="12" s="1"/>
  <c r="G15" i="1"/>
  <c r="G13" i="1"/>
  <c r="G95" i="12" s="1"/>
  <c r="G97" i="1"/>
  <c r="O7" i="1"/>
  <c r="H7" i="1"/>
  <c r="K25" i="1"/>
  <c r="K15" i="1"/>
  <c r="K13" i="1"/>
  <c r="K95" i="12" s="1"/>
  <c r="K97" i="1"/>
  <c r="K14" i="1"/>
  <c r="K96" i="12" s="1"/>
  <c r="Q7" i="8"/>
  <c r="E12" i="8"/>
  <c r="I13" i="1"/>
  <c r="I95" i="12" s="1"/>
  <c r="I15" i="1"/>
  <c r="J7" i="1"/>
  <c r="I14" i="1"/>
  <c r="I96" i="12" s="1"/>
  <c r="I97" i="1"/>
  <c r="L7" i="1"/>
  <c r="E64" i="8"/>
  <c r="G59" i="3"/>
  <c r="G64" i="8"/>
  <c r="J46" i="3"/>
  <c r="I59" i="3"/>
  <c r="L46" i="3"/>
  <c r="J40" i="1"/>
  <c r="O40" i="1" l="1"/>
  <c r="C64" i="8"/>
  <c r="E59" i="3"/>
  <c r="H59" i="3" s="1"/>
  <c r="F46" i="3"/>
  <c r="N46" i="3"/>
  <c r="O64" i="8"/>
  <c r="M59" i="3"/>
  <c r="F40" i="1"/>
  <c r="G64" i="3"/>
  <c r="G72" i="3"/>
  <c r="I64" i="3"/>
  <c r="J59" i="3"/>
  <c r="I72" i="3"/>
  <c r="L59" i="3"/>
  <c r="F59" i="3" l="1"/>
  <c r="E72" i="3"/>
  <c r="E64" i="3"/>
  <c r="M72" i="3"/>
  <c r="M64" i="3"/>
  <c r="N5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Wendy Weiss</author>
  </authors>
  <commentList>
    <comment ref="B43" authorId="0" shapeId="0" xr:uid="{00000000-0006-0000-0300-000001000000}">
      <text>
        <r>
          <rPr>
            <b/>
            <sz val="8"/>
            <color indexed="81"/>
            <rFont val="Tahoma"/>
            <family val="2"/>
          </rPr>
          <t>Wendy Weiss:</t>
        </r>
        <r>
          <rPr>
            <sz val="8"/>
            <color indexed="81"/>
            <rFont val="Tahoma"/>
            <family val="2"/>
          </rPr>
          <t xml:space="preserve">
Hide if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uthor>
    <author>Kathy</author>
    <author>Jon Schwartz</author>
    <author>Microsoft Windows XP</author>
  </authors>
  <commentList>
    <comment ref="B27" authorId="0" shapeId="0" xr:uid="{00000000-0006-0000-0400-000001000000}">
      <text>
        <r>
          <rPr>
            <b/>
            <sz val="9"/>
            <color indexed="81"/>
            <rFont val="Tahoma"/>
            <family val="2"/>
          </rPr>
          <t>jon:</t>
        </r>
        <r>
          <rPr>
            <sz val="9"/>
            <color indexed="81"/>
            <rFont val="Tahoma"/>
            <family val="2"/>
          </rPr>
          <t xml:space="preserve">
has been updated from total liabilities/net assets</t>
        </r>
      </text>
    </comment>
    <comment ref="B31" authorId="1" shapeId="0" xr:uid="{00000000-0006-0000-0400-000002000000}">
      <text>
        <r>
          <rPr>
            <b/>
            <sz val="8"/>
            <color indexed="81"/>
            <rFont val="Tahoma"/>
            <family val="2"/>
          </rPr>
          <t>Kathy:</t>
        </r>
        <r>
          <rPr>
            <sz val="8"/>
            <color indexed="81"/>
            <rFont val="Tahoma"/>
            <family val="2"/>
          </rPr>
          <t xml:space="preserve">
If only Net Charge Offs are available change the row title to indicate that this is Net Amount Charged Off and hide the recoveries line below. </t>
        </r>
      </text>
    </comment>
    <comment ref="B42" authorId="2" shapeId="0" xr:uid="{00000000-0006-0000-0400-000003000000}">
      <text>
        <r>
          <rPr>
            <b/>
            <sz val="8"/>
            <color indexed="81"/>
            <rFont val="Tahoma"/>
            <family val="2"/>
          </rPr>
          <t>Jon Schwartz:</t>
        </r>
        <r>
          <rPr>
            <sz val="8"/>
            <color indexed="81"/>
            <rFont val="Tahoma"/>
            <family val="2"/>
          </rPr>
          <t xml:space="preserve">
IF the CDFI funds pass-thru grants with TRNA that they release, then in the SELF-SUFFICIENCY calculation TAKE OUT the pass-thru grant expense from the DENOMINATOR.  NOTE FOR READERS on the Sum page that you have taken the pass-through grant expense out of the operating expenses for this calculation.
</t>
        </r>
      </text>
    </comment>
    <comment ref="B47" authorId="3" shapeId="0" xr:uid="{00000000-0006-0000-0400-000004000000}">
      <text>
        <r>
          <rPr>
            <b/>
            <sz val="10"/>
            <color indexed="81"/>
            <rFont val="Tahoma"/>
            <family val="2"/>
          </rPr>
          <t>Sarah Carroll:</t>
        </r>
        <r>
          <rPr>
            <sz val="10"/>
            <color indexed="81"/>
            <rFont val="Tahoma"/>
            <family val="2"/>
          </rPr>
          <t xml:space="preserve">
In the numerator, include unrestricted cash &amp; equiv. + TR cash &amp; cash equiv available for operations.  In the denominator operating expenses should include interest but not depreciation, LLR, or pass-thru grants (unless pass-thru grants don't have TRNA as a source of payment).</t>
        </r>
      </text>
    </comment>
    <comment ref="B55" authorId="1" shapeId="0" xr:uid="{00000000-0006-0000-0400-000005000000}">
      <text>
        <r>
          <rPr>
            <b/>
            <sz val="8"/>
            <color indexed="81"/>
            <rFont val="Tahoma"/>
            <family val="2"/>
          </rPr>
          <t>Kathy:</t>
        </r>
        <r>
          <rPr>
            <sz val="8"/>
            <color indexed="81"/>
            <rFont val="Tahoma"/>
            <family val="2"/>
          </rPr>
          <t xml:space="preserve">
Analysts or Jon may add additional deployment ratios here if appropriate.</t>
        </r>
      </text>
    </comment>
    <comment ref="A56" authorId="1" shapeId="0" xr:uid="{00000000-0006-0000-0400-000006000000}">
      <text>
        <r>
          <rPr>
            <b/>
            <sz val="8"/>
            <color indexed="81"/>
            <rFont val="Tahoma"/>
            <family val="2"/>
          </rPr>
          <t>Kathy:</t>
        </r>
        <r>
          <rPr>
            <sz val="8"/>
            <color indexed="81"/>
            <rFont val="Tahoma"/>
            <family val="2"/>
          </rPr>
          <t xml:space="preserve">
Limit to 5-10 of their key indicators. If this is only a sample and they track a lot of things, note that this is just a small sample and include more in the text.
</t>
        </r>
      </text>
    </comment>
    <comment ref="A64" authorId="1" shapeId="0" xr:uid="{00000000-0006-0000-0400-000007000000}">
      <text>
        <r>
          <rPr>
            <b/>
            <sz val="8"/>
            <color indexed="81"/>
            <rFont val="Tahoma"/>
            <family val="2"/>
          </rPr>
          <t>Kathy:</t>
        </r>
        <r>
          <rPr>
            <sz val="8"/>
            <color indexed="81"/>
            <rFont val="Tahoma"/>
            <family val="2"/>
          </rPr>
          <t xml:space="preserve">
Limit to 5-10 of their key indicators. If this is only a sample and they track a lot of things, note that this is just a small sample and include more in the text.</t>
        </r>
      </text>
    </comment>
    <comment ref="B97" authorId="1" shapeId="0" xr:uid="{00000000-0006-0000-0400-000008000000}">
      <text>
        <r>
          <rPr>
            <b/>
            <sz val="8"/>
            <color indexed="81"/>
            <rFont val="Tahoma"/>
            <family val="2"/>
          </rPr>
          <t>Kathy:</t>
        </r>
        <r>
          <rPr>
            <sz val="8"/>
            <color indexed="81"/>
            <rFont val="Tahoma"/>
            <family val="2"/>
          </rPr>
          <t xml:space="preserve">
Note that this is NET loans outstanding (Total Loans Outstanding minus Reserves).</t>
        </r>
      </text>
    </comment>
    <comment ref="B100" authorId="1" shapeId="0" xr:uid="{00000000-0006-0000-0400-000009000000}">
      <text>
        <r>
          <rPr>
            <b/>
            <sz val="8"/>
            <color indexed="81"/>
            <rFont val="Tahoma"/>
            <family val="2"/>
          </rPr>
          <t>Kathy:</t>
        </r>
        <r>
          <rPr>
            <sz val="8"/>
            <color indexed="81"/>
            <rFont val="Tahoma"/>
            <family val="2"/>
          </rPr>
          <t xml:space="preserve">
Only use this row if fixed assets (not counting real estate) OR real estate are significant.  Change the label to indicate if you are showing real estate or net fixed assets. </t>
        </r>
      </text>
    </comment>
    <comment ref="B131" authorId="1" shapeId="0" xr:uid="{00000000-0006-0000-0400-00000A000000}">
      <text>
        <r>
          <rPr>
            <b/>
            <sz val="8"/>
            <color indexed="81"/>
            <rFont val="Tahoma"/>
            <family val="2"/>
          </rPr>
          <t>Kathy:</t>
        </r>
        <r>
          <rPr>
            <sz val="8"/>
            <color indexed="81"/>
            <rFont val="Tahoma"/>
            <family val="2"/>
          </rPr>
          <t xml:space="preserve">
Note that the numerator should include ONLY interest related to loans outstanding, and NOT interest on idle funds. </t>
        </r>
      </text>
    </comment>
    <comment ref="B132" authorId="1" shapeId="0" xr:uid="{00000000-0006-0000-0400-00000B000000}">
      <text>
        <r>
          <rPr>
            <b/>
            <sz val="8"/>
            <color indexed="81"/>
            <rFont val="Tahoma"/>
            <family val="2"/>
          </rPr>
          <t>Kathy:</t>
        </r>
        <r>
          <rPr>
            <sz val="8"/>
            <color indexed="81"/>
            <rFont val="Tahoma"/>
            <family val="2"/>
          </rPr>
          <t xml:space="preserve">
Note that the numerator should include interest expense ONLY on funds borrowed for financing purposes.  If the CDFI has other debt (such as for a mortgage or for an operating line), that expense needs to be netted out of the numerator.</t>
        </r>
      </text>
    </comment>
  </commentList>
</comments>
</file>

<file path=xl/sharedStrings.xml><?xml version="1.0" encoding="utf-8"?>
<sst xmlns="http://schemas.openxmlformats.org/spreadsheetml/2006/main" count="887" uniqueCount="639">
  <si>
    <t>% CH</t>
  </si>
  <si>
    <t>Current Assets</t>
  </si>
  <si>
    <t>Other Assets</t>
  </si>
  <si>
    <t>Total Current Assets</t>
  </si>
  <si>
    <t>Total Noncurrent Assets</t>
  </si>
  <si>
    <t>TOTAL ASSETS</t>
  </si>
  <si>
    <t>LIABILITIES AND NET ASSETS</t>
  </si>
  <si>
    <t>Loans Payable</t>
  </si>
  <si>
    <t>Total Current Liabilities</t>
  </si>
  <si>
    <t>Total Noncurrent Liabilities</t>
  </si>
  <si>
    <t>Unrestricted</t>
  </si>
  <si>
    <t>Permanently Restricted</t>
  </si>
  <si>
    <t>Total Net Assets</t>
  </si>
  <si>
    <t>Summary Data</t>
  </si>
  <si>
    <t>Unrestricted Net Assets</t>
  </si>
  <si>
    <t>Net Assets/Total Assets</t>
  </si>
  <si>
    <t>Unrestricted Net Assets/Total Assets</t>
  </si>
  <si>
    <t>Loan Loss Reserve/Outstandings</t>
  </si>
  <si>
    <t>Earned Revenue</t>
  </si>
  <si>
    <t>Grant Revenue (Unrestricted or Released)</t>
  </si>
  <si>
    <t>Expenses</t>
  </si>
  <si>
    <t>Equity Investments Outstanding</t>
  </si>
  <si>
    <t>Prepaid Expenses</t>
  </si>
  <si>
    <t>less Loan Loss Reserve</t>
  </si>
  <si>
    <t>Fixed Assets (net)</t>
  </si>
  <si>
    <t>Current Liabilities</t>
  </si>
  <si>
    <t>Accounts Payable</t>
  </si>
  <si>
    <t>Noncurrent Liabilities</t>
  </si>
  <si>
    <t xml:space="preserve">Loans Payable </t>
  </si>
  <si>
    <t>Subordinated Debt</t>
  </si>
  <si>
    <t xml:space="preserve">Other LT Liabilities </t>
  </si>
  <si>
    <t>Total Liabilities</t>
  </si>
  <si>
    <t>Net Assets</t>
  </si>
  <si>
    <t>Total Liabilities and Net Assets</t>
  </si>
  <si>
    <t>Equity Equivalent Investments</t>
  </si>
  <si>
    <t>UNRESTRICTED REVENUE</t>
  </si>
  <si>
    <t>Financing Revenue</t>
  </si>
  <si>
    <t>less Loss Allocation</t>
  </si>
  <si>
    <t>Net Financing Income</t>
  </si>
  <si>
    <t>Total Fee Income</t>
  </si>
  <si>
    <t>Contributed Revenue</t>
  </si>
  <si>
    <t>Total Contributed Revenues</t>
  </si>
  <si>
    <t>Net Revenue</t>
  </si>
  <si>
    <t>Operating Expenses</t>
  </si>
  <si>
    <t>Personnel</t>
  </si>
  <si>
    <t>Professional Services</t>
  </si>
  <si>
    <t>Depreciation</t>
  </si>
  <si>
    <t>Grants Made</t>
  </si>
  <si>
    <t>Other Operating Expense</t>
  </si>
  <si>
    <t>Total Expenses</t>
  </si>
  <si>
    <t>Surplus (Deficit) from Operations</t>
  </si>
  <si>
    <t>Change in Unrestricted Net Assets</t>
  </si>
  <si>
    <t>Changes in Temporarily Restricted Net Assets</t>
  </si>
  <si>
    <t>Change in Temporarily Restricted Net Assets</t>
  </si>
  <si>
    <t>Change in Permanently Restricted Net Assets</t>
  </si>
  <si>
    <t>Grants and Contributions</t>
  </si>
  <si>
    <t>Change in Net Assets</t>
  </si>
  <si>
    <t>Change in Net Assets from Statement of Position</t>
  </si>
  <si>
    <t>Current Net Asset Balance</t>
  </si>
  <si>
    <t>Gov't and Other Contract Revenue</t>
  </si>
  <si>
    <t>In-Kind Donations</t>
  </si>
  <si>
    <t xml:space="preserve">Grants and Contributions </t>
  </si>
  <si>
    <t>TR interest and fees</t>
  </si>
  <si>
    <t>Check:</t>
  </si>
  <si>
    <t>Rental Fees</t>
  </si>
  <si>
    <t>TRNA Released from Restriction</t>
  </si>
  <si>
    <t>31-60 days</t>
  </si>
  <si>
    <t>61-90 days</t>
  </si>
  <si>
    <t>Equity Investments/Total Assets</t>
  </si>
  <si>
    <t xml:space="preserve">Loans and Investments Disbursed </t>
  </si>
  <si>
    <t>Unrestricted Revenues</t>
  </si>
  <si>
    <t>Includes NA released from restriction.</t>
  </si>
  <si>
    <t>Financing Expenses</t>
  </si>
  <si>
    <t>Net Revenues</t>
  </si>
  <si>
    <t>Unrestricted Revenues less Financing Expenses</t>
  </si>
  <si>
    <t>Financing Funds</t>
  </si>
  <si>
    <t xml:space="preserve">Net assets (unrestricted, temp restricted, perm restricted) and debt intended for financing activities. </t>
  </si>
  <si>
    <t>Liquidity</t>
  </si>
  <si>
    <t>Cash and Equivalents</t>
  </si>
  <si>
    <t xml:space="preserve">Loans Closed </t>
  </si>
  <si>
    <t>Housing Units Financed</t>
  </si>
  <si>
    <t>Child Care Slots Finance</t>
  </si>
  <si>
    <t>Community Facilities Projects Financed</t>
  </si>
  <si>
    <t>Charter Schools Financed</t>
  </si>
  <si>
    <t>Realized gains (losses) on portfolio investments</t>
  </si>
  <si>
    <t>Statement of Financial Position</t>
  </si>
  <si>
    <t>ADJUSTMENTS MADE TO CDFI's FINANCIALS</t>
  </si>
  <si>
    <t>Net Assets Dedicated to Financing</t>
  </si>
  <si>
    <t xml:space="preserve">NADF or Net Assets for Financing: Net assets (unrestricted, temp restricted, perm restricted) intended for financing activities. </t>
  </si>
  <si>
    <t>Assets</t>
  </si>
  <si>
    <t>Net Interest Margin</t>
  </si>
  <si>
    <t>Operating Expense</t>
  </si>
  <si>
    <t>All expenses except financing expenses.  If the CDFI provides grants from grant revenue restricted to this purpose, the pass-thru grant revenue and expense should be excluded from most ratios (efficiency ratios, self-sufficiency, etc.).</t>
  </si>
  <si>
    <t>Spread or Net Interest Margin</t>
  </si>
  <si>
    <t xml:space="preserve">Weighted Average Spread is the Wted Avg Interest Earned on loans outstanding minus the wted avg cost of debt. </t>
  </si>
  <si>
    <t>Appendix I - B, page 5</t>
  </si>
  <si>
    <t>Current Assets/Current Liabilities</t>
  </si>
  <si>
    <t>Deployment</t>
  </si>
  <si>
    <t>Asset Quality</t>
  </si>
  <si>
    <t>Participants in Training</t>
  </si>
  <si>
    <t>TA Recipients</t>
  </si>
  <si>
    <t>Other</t>
  </si>
  <si>
    <t xml:space="preserve">Jobs Created </t>
  </si>
  <si>
    <t>Jobs Preserved</t>
  </si>
  <si>
    <t>Changes in income of bus borrowers</t>
  </si>
  <si>
    <t>Increased Revenue of financed businesses</t>
  </si>
  <si>
    <t>Availability of Aff Housing in Community</t>
  </si>
  <si>
    <t>Savings for Occupants of Aff Units Financed</t>
  </si>
  <si>
    <t>Others</t>
  </si>
  <si>
    <t>Self Sufficiency</t>
  </si>
  <si>
    <t>Earned revenue (including contract revenue)/Total Expenses   (Net out pass-thru grants)</t>
  </si>
  <si>
    <t>Operating Surplus (Deficit)</t>
  </si>
  <si>
    <t>(Earned Rev + Unr Grants + NA released) - Total Expenses</t>
  </si>
  <si>
    <t>Interest and loan loss provision expenses.</t>
  </si>
  <si>
    <t>Total Assets</t>
  </si>
  <si>
    <t xml:space="preserve">Liabilities and Net Assets </t>
  </si>
  <si>
    <t>Liabilities:</t>
  </si>
  <si>
    <t>Total liabilities</t>
  </si>
  <si>
    <t>Net Assets:</t>
  </si>
  <si>
    <t>Check</t>
  </si>
  <si>
    <t>Support and Revenues</t>
  </si>
  <si>
    <t>Total Support and Revenues</t>
  </si>
  <si>
    <t>Increase in Net Assets</t>
  </si>
  <si>
    <t>Net Assets Released from Restrictions</t>
  </si>
  <si>
    <t>Net Assets beginning</t>
  </si>
  <si>
    <t>Net Assets ending</t>
  </si>
  <si>
    <t xml:space="preserve">Check </t>
  </si>
  <si>
    <t>check</t>
  </si>
  <si>
    <t>TOTAL DELINQUENCIES (Over 30 days)</t>
  </si>
  <si>
    <t xml:space="preserve">Total Loans Outstanding </t>
  </si>
  <si>
    <t xml:space="preserve">Capital </t>
  </si>
  <si>
    <t>Earnings</t>
  </si>
  <si>
    <t>Outputs Indicators (examples)</t>
  </si>
  <si>
    <t>Impact or Outcome Indicators (examples)</t>
  </si>
  <si>
    <t>Grants Disbursed</t>
  </si>
  <si>
    <t>Output Data</t>
  </si>
  <si>
    <t>Operating Cash and Equiv ($)</t>
  </si>
  <si>
    <t>Additional Data and Ratios</t>
  </si>
  <si>
    <t xml:space="preserve">               </t>
  </si>
  <si>
    <t>Unaudited</t>
  </si>
  <si>
    <t>Loans Payable - Current Portion</t>
  </si>
  <si>
    <t>Loans Payable - Non-Current Portion</t>
  </si>
  <si>
    <t>Program Service Expenses</t>
  </si>
  <si>
    <t>Management and General Expenses</t>
  </si>
  <si>
    <t>30 - 60 days</t>
  </si>
  <si>
    <t>60 - 90 days</t>
  </si>
  <si>
    <t>Increase in Unrestricted Net Assets</t>
  </si>
  <si>
    <t>Increase in Temporarily Restricted Net Assets</t>
  </si>
  <si>
    <t>Net Assets Released From Restrictions</t>
  </si>
  <si>
    <t>DK</t>
  </si>
  <si>
    <t xml:space="preserve">    </t>
  </si>
  <si>
    <t>RATIO AND TREND ANALYSIS</t>
  </si>
  <si>
    <t>Audited</t>
  </si>
  <si>
    <t>Capital</t>
  </si>
  <si>
    <t>Total Net Assets/Total Assets</t>
  </si>
  <si>
    <t>Total Net Assets +LLR/Total Assets</t>
  </si>
  <si>
    <t>Total Liabilities/Total Net Assets</t>
  </si>
  <si>
    <t>Charge Offs/ Loans rec.</t>
  </si>
  <si>
    <t>Recoveries/PY charge offs</t>
  </si>
  <si>
    <t>Loan Loss Reserves/Loans rec.</t>
  </si>
  <si>
    <t>Prob.Loans/Total Loans rec.</t>
  </si>
  <si>
    <t xml:space="preserve">Total Loans Receivable $$ </t>
  </si>
  <si>
    <t xml:space="preserve">Total Loans Payable $$ </t>
  </si>
  <si>
    <t>Avg loan=Total loans $ / Total loan #</t>
  </si>
  <si>
    <t>Total # loans (portfolio)</t>
  </si>
  <si>
    <t xml:space="preserve">$$ Loans &gt; 60 days delinq. </t>
  </si>
  <si>
    <t xml:space="preserve">$$ Loans &gt; 90 days delinq. </t>
  </si>
  <si>
    <t xml:space="preserve">$$ Recoveries </t>
  </si>
  <si>
    <t xml:space="preserve">$$ Loan Charge offs </t>
  </si>
  <si>
    <t xml:space="preserve">$$ Watch / Problem Loans </t>
  </si>
  <si>
    <t xml:space="preserve">$$ Non-Accural / Non-Performing Loans </t>
  </si>
  <si>
    <t>Management</t>
  </si>
  <si>
    <t>Effic ratio: Oper Expenses/Total Revenues</t>
  </si>
  <si>
    <t>Total $$ loans / Total Loan pool</t>
  </si>
  <si>
    <t>Oper Exp/ # Loan Prod.  CY</t>
  </si>
  <si>
    <t>Oper Exp/Tot # loans in portfolio</t>
  </si>
  <si>
    <t>Operating Expense / Total Assets</t>
  </si>
  <si>
    <t>Loans Rec./Total Assets</t>
  </si>
  <si>
    <t>Total loans $$ / # lending staff</t>
  </si>
  <si>
    <t>Total salaries / FTE staff</t>
  </si>
  <si>
    <t>Loan Production (# CY)</t>
  </si>
  <si>
    <t>Total loan pool $$</t>
  </si>
  <si>
    <t>Type</t>
  </si>
  <si>
    <t xml:space="preserve">     </t>
  </si>
  <si>
    <t>Total Earning Assets (TEA)</t>
  </si>
  <si>
    <t>Current  Assets/Total Assets</t>
  </si>
  <si>
    <t>Current Ratio = CA/CL</t>
  </si>
  <si>
    <t>Int coverage = op inc+int/int exp</t>
  </si>
  <si>
    <t>Database Key Ratios</t>
  </si>
  <si>
    <t>Dollar of Loans / Loan Pool</t>
  </si>
  <si>
    <t>Operating Expense / Loan Production (CY)</t>
  </si>
  <si>
    <t>Operating Expense / Number of Loans</t>
  </si>
  <si>
    <t>Number of Loans Produced (CY)</t>
  </si>
  <si>
    <t>Number of Loans Outstanding</t>
  </si>
  <si>
    <t>Dollar of Loans Outstanding</t>
  </si>
  <si>
    <t>Capital +LLR / Assets</t>
  </si>
  <si>
    <t>% Loans &gt; 60 Days Past Due</t>
  </si>
  <si>
    <t>% Loans &gt; 90 Days Past Due</t>
  </si>
  <si>
    <t>% Charge Offs</t>
  </si>
  <si>
    <t>LLR / Dollar of Loans</t>
  </si>
  <si>
    <t>% Problem Loans</t>
  </si>
  <si>
    <t>Loan Income / Dollar of Loans</t>
  </si>
  <si>
    <t>Interest Expense / Loans Payable</t>
  </si>
  <si>
    <t>DK = Don't Know</t>
  </si>
  <si>
    <t>Unauudited</t>
  </si>
  <si>
    <t xml:space="preserve">Unrestricted Net Assets/Total Assets </t>
  </si>
  <si>
    <t xml:space="preserve">Unrestricted Net Assets/Total Net Assets </t>
  </si>
  <si>
    <t>Recoveries</t>
  </si>
  <si>
    <t xml:space="preserve">Self-suff. ratio=earn inc/op exp. </t>
  </si>
  <si>
    <t>NCCA Self-Sufficiency *</t>
  </si>
  <si>
    <t>* For this calculation NCCA adds depreciation, grants made, and loan loss provisions to operating expenses.</t>
  </si>
  <si>
    <t xml:space="preserve">Number of Lending Staff </t>
  </si>
  <si>
    <t xml:space="preserve">Dollar of Loans / Number of Staff </t>
  </si>
  <si>
    <t>NCCA Self-suff. Ratio=earn inc/adj op exp. *</t>
  </si>
  <si>
    <t xml:space="preserve">Total FTE staff </t>
  </si>
  <si>
    <t xml:space="preserve">Total # lending staff </t>
  </si>
  <si>
    <t>FTEs #</t>
  </si>
  <si>
    <t>FTEs dedicated to financing #</t>
  </si>
  <si>
    <t>Investments Closed</t>
  </si>
  <si>
    <t>Loans Outstanding #</t>
  </si>
  <si>
    <t>Equity Investments Outstanding #</t>
  </si>
  <si>
    <t>Other Non-Current Assets</t>
  </si>
  <si>
    <t>Loss Allocation</t>
  </si>
  <si>
    <t>Contract Revenue and Government Revenue</t>
  </si>
  <si>
    <t>$ Past Due/ % Past Due of Loans Outstanding    (&gt;60 days)</t>
  </si>
  <si>
    <t>$ Past Due/ % Past Due of Loans Outstanding    (&gt;90 days)</t>
  </si>
  <si>
    <t>C.A.G.R.</t>
  </si>
  <si>
    <t>COVENANT PERFORMANCE</t>
  </si>
  <si>
    <t>Senior Debt</t>
  </si>
  <si>
    <t xml:space="preserve">Sub Debt  </t>
  </si>
  <si>
    <t>5.2(a) - Adjusted Operating Results / Unrestricted Net Assets  &lt; 10%</t>
  </si>
  <si>
    <t>Adjusted Revenues</t>
  </si>
  <si>
    <t>Adjusted expenses</t>
  </si>
  <si>
    <t>- Adjusted Operating Results</t>
  </si>
  <si>
    <t xml:space="preserve">divided by Unrestricted Net Assets </t>
  </si>
  <si>
    <t>Covenant</t>
  </si>
  <si>
    <t>Complies?</t>
  </si>
  <si>
    <t>5.2(b) NADL / Total Cap &gt; 15%</t>
  </si>
  <si>
    <t>Actual</t>
  </si>
  <si>
    <t xml:space="preserve">Covenant </t>
  </si>
  <si>
    <t>Gross Loans Outstanding ($)</t>
  </si>
  <si>
    <t>Loans Committed but not Disbursed ($)</t>
  </si>
  <si>
    <t>5.2(d) NCC loan &lt; 10% Total Cap</t>
  </si>
  <si>
    <t>NCC Loan / Total Cap</t>
  </si>
  <si>
    <t>Delinquent Loans ($ / % of Gross Loans Outstanding)</t>
  </si>
  <si>
    <t>Equity Investments ($)</t>
  </si>
  <si>
    <t>Total Net Assets / Total Assets</t>
  </si>
  <si>
    <t>Ratio and Trend Analysis</t>
  </si>
  <si>
    <r>
      <t>EQ</t>
    </r>
    <r>
      <rPr>
        <vertAlign val="superscript"/>
        <sz val="10"/>
        <rFont val="Arial"/>
        <family val="2"/>
      </rPr>
      <t>2</t>
    </r>
  </si>
  <si>
    <t>Total Debt</t>
  </si>
  <si>
    <t>Loan Loss Reserve / % of Outstanding</t>
  </si>
  <si>
    <t>91 + days</t>
  </si>
  <si>
    <t>Operating Expenses / # of loans in CY</t>
  </si>
  <si>
    <t>Operating Expenses / Total Assets</t>
  </si>
  <si>
    <t>Operating Expenses / Total # of loans in portfolio</t>
  </si>
  <si>
    <t>Total loans outstanding / # lending staff</t>
  </si>
  <si>
    <t>Total lending staff</t>
  </si>
  <si>
    <t>Total FTE staff</t>
  </si>
  <si>
    <t>Equity Investment #</t>
  </si>
  <si>
    <t>Loans Produced, current year #</t>
  </si>
  <si>
    <t>Change</t>
  </si>
  <si>
    <t>YTD</t>
  </si>
  <si>
    <t>Current Assets / Total Assets</t>
  </si>
  <si>
    <t>Loans Receivable</t>
  </si>
  <si>
    <t>Allowance for loan losses</t>
  </si>
  <si>
    <t>Interest receivable</t>
  </si>
  <si>
    <t>Non-Current  Assets</t>
  </si>
  <si>
    <t>Interest Payable</t>
  </si>
  <si>
    <t>Other Liabilities</t>
  </si>
  <si>
    <t>Interest Income - Investments</t>
  </si>
  <si>
    <t>Unrealized gains (losses) on portfolio investments</t>
  </si>
  <si>
    <t>Interest expense</t>
  </si>
  <si>
    <t>Net Write-Offs ( $ / % of Gross Loans Outstanding)</t>
  </si>
  <si>
    <t>91+</t>
  </si>
  <si>
    <t xml:space="preserve">Delinquency </t>
  </si>
  <si>
    <t>Current Ratio = Current Assets / Current Liabilities</t>
  </si>
  <si>
    <t>Total Financing Income</t>
  </si>
  <si>
    <t>Unrestricted Net Assets / Total Net Assets</t>
  </si>
  <si>
    <t>Real Estate</t>
  </si>
  <si>
    <t>Temporarily Restricted - Operations</t>
  </si>
  <si>
    <t>Total Financing Pool</t>
  </si>
  <si>
    <t xml:space="preserve">Equity Capital / Total Financing Pool </t>
  </si>
  <si>
    <r>
      <t>EQ</t>
    </r>
    <r>
      <rPr>
        <vertAlign val="superscript"/>
        <sz val="10"/>
        <rFont val="Arial"/>
        <family val="2"/>
      </rPr>
      <t>2</t>
    </r>
    <r>
      <rPr>
        <sz val="10"/>
        <rFont val="Arial"/>
        <family val="2"/>
      </rPr>
      <t xml:space="preserve"> / Total Financing Pool </t>
    </r>
  </si>
  <si>
    <t xml:space="preserve">Sub Debt / Total Financing Pool </t>
  </si>
  <si>
    <t xml:space="preserve">Senior Debt / Total Financing Pool </t>
  </si>
  <si>
    <t xml:space="preserve">Equity Capital </t>
  </si>
  <si>
    <t xml:space="preserve">Total Financing Pool </t>
  </si>
  <si>
    <t xml:space="preserve">Unrestricted </t>
  </si>
  <si>
    <t xml:space="preserve">Defintions </t>
  </si>
  <si>
    <t>Months of Operating Cash</t>
  </si>
  <si>
    <t>Total Adjusted Expenses</t>
  </si>
  <si>
    <r>
      <t>Adjusted Expenses</t>
    </r>
    <r>
      <rPr>
        <sz val="10"/>
        <rFont val="Arial"/>
        <family val="2"/>
      </rPr>
      <t xml:space="preserve">=total expenses less grants expense; </t>
    </r>
    <r>
      <rPr>
        <b/>
        <sz val="10"/>
        <rFont val="Arial"/>
        <family val="2"/>
      </rPr>
      <t>self-sufficency ratio</t>
    </r>
    <r>
      <rPr>
        <sz val="10"/>
        <rFont val="Arial"/>
        <family val="2"/>
      </rPr>
      <t xml:space="preserve">=earned income/Adjusted Expenses; </t>
    </r>
    <r>
      <rPr>
        <b/>
        <sz val="10"/>
        <rFont val="Arial"/>
        <family val="2"/>
      </rPr>
      <t>Deployment</t>
    </r>
    <r>
      <rPr>
        <sz val="10"/>
        <rFont val="Arial"/>
        <family val="2"/>
      </rPr>
      <t xml:space="preserve"> =  (Loans outstanding + commitments / total loan pool); </t>
    </r>
    <r>
      <rPr>
        <b/>
        <sz val="10"/>
        <rFont val="Arial"/>
        <family val="2"/>
      </rPr>
      <t>Months of Operating Cash</t>
    </r>
    <r>
      <rPr>
        <sz val="10"/>
        <rFont val="Arial"/>
        <family val="2"/>
      </rPr>
      <t>=Unrestricted, Undesignated Net Assets/Adj Expenses/12</t>
    </r>
  </si>
  <si>
    <t xml:space="preserve"> </t>
  </si>
  <si>
    <t>Grants Receivable</t>
  </si>
  <si>
    <t>Equity Investments in CD Projects</t>
  </si>
  <si>
    <t>Accounts payable and accrued expenses</t>
  </si>
  <si>
    <t>Unrestricted, Designated by Board for Financing Capital</t>
  </si>
  <si>
    <t>Temporarily Restricted - Financing Capital</t>
  </si>
  <si>
    <t>Rental income</t>
  </si>
  <si>
    <t>Senior Debt  for Financing Activities</t>
  </si>
  <si>
    <t>AUDIT</t>
  </si>
  <si>
    <t>INTERIM</t>
  </si>
  <si>
    <t>Loans and Investments Disbursed</t>
  </si>
  <si>
    <t>Deployment without Commitments</t>
  </si>
  <si>
    <t>Input Several Key indicators CDFI Uses</t>
  </si>
  <si>
    <t>Interest Receivable</t>
  </si>
  <si>
    <t>Loans Receivable (Net)</t>
  </si>
  <si>
    <t>Fixed Assets (Net)</t>
  </si>
  <si>
    <r>
      <t>Current Loans Receivable</t>
    </r>
    <r>
      <rPr>
        <sz val="8"/>
        <rFont val="Arial Narrow"/>
        <family val="2"/>
      </rPr>
      <t xml:space="preserve"> </t>
    </r>
  </si>
  <si>
    <t>Net Interest Income before Loss Allocation</t>
  </si>
  <si>
    <t>Realized Gains (Losses) on Investments</t>
  </si>
  <si>
    <t>Fee Revenue</t>
  </si>
  <si>
    <t>Other Changes in Unrestricted Net Assets</t>
  </si>
  <si>
    <t>TR Interest and Fees</t>
  </si>
  <si>
    <t>Subtotal Net Financing Income</t>
  </si>
  <si>
    <t xml:space="preserve">Interest Income / (Avg. Loans Outstanding+Investments + Cash) </t>
  </si>
  <si>
    <t>Interest Expense / Avg. Total Debt</t>
  </si>
  <si>
    <t>A. Loan + Invest Icome/Total Loans and Investments</t>
  </si>
  <si>
    <t>Net Int. Margin. A-B</t>
  </si>
  <si>
    <t xml:space="preserve">B.  'Interest Exp./Avg. Loans Payable </t>
  </si>
  <si>
    <t>Certificates of Deposit</t>
  </si>
  <si>
    <t>Loan Fee income</t>
  </si>
  <si>
    <t>Donated Services</t>
  </si>
  <si>
    <t>Other Short-Term Assets</t>
  </si>
  <si>
    <t>Loan Fee Income</t>
  </si>
  <si>
    <t>Unrestricted Grants and Contributions (1)</t>
  </si>
  <si>
    <r>
      <t>Notes</t>
    </r>
    <r>
      <rPr>
        <sz val="10"/>
        <rFont val="Arial Narrow"/>
        <family val="2"/>
      </rPr>
      <t>: (1) In FY 2004, there was a $409,500 debt conversion.</t>
    </r>
  </si>
  <si>
    <t>5.2(c) LLR / GLO &gt; 3%</t>
  </si>
  <si>
    <t>Interest Income - Loans</t>
  </si>
  <si>
    <t>Other ST Liabilities</t>
  </si>
  <si>
    <t>Interest on Loans</t>
  </si>
  <si>
    <t>Interest on Investments</t>
  </si>
  <si>
    <t>03/05</t>
  </si>
  <si>
    <t>FYE</t>
  </si>
  <si>
    <t>Interest Expense/Average Total Debt</t>
  </si>
  <si>
    <t>Capitalization</t>
  </si>
  <si>
    <t>Notes:</t>
  </si>
  <si>
    <t xml:space="preserve">Notes: </t>
  </si>
  <si>
    <t>Financing Activity</t>
  </si>
  <si>
    <t xml:space="preserve">Delinquency (&gt; 90 Days)/Outstandings </t>
  </si>
  <si>
    <t xml:space="preserve">   Leverage</t>
  </si>
  <si>
    <t xml:space="preserve">   Net Margin</t>
  </si>
  <si>
    <t xml:space="preserve">   Quick Ratio</t>
  </si>
  <si>
    <t xml:space="preserve">   Current Ratio</t>
  </si>
  <si>
    <t>Cash &amp; Equiv/Total Assets</t>
  </si>
  <si>
    <t>Net Loans Outstanding/Total Assets</t>
  </si>
  <si>
    <t>Senior Debt/Total Assets</t>
  </si>
  <si>
    <t>Subordinate Debt/Total Assets</t>
  </si>
  <si>
    <t>EQ2/Total Assets</t>
  </si>
  <si>
    <t>Total Debt/Total Assets</t>
  </si>
  <si>
    <t>Loans Outstanding (#)</t>
  </si>
  <si>
    <t>Loans Committed but Not Disbursed ($)</t>
  </si>
  <si>
    <t xml:space="preserve">   Mos of Op Cash</t>
  </si>
  <si>
    <t>Loan Interest Earned/Avg Loans Outstanding</t>
  </si>
  <si>
    <t>(a)  For the purpose of calculating the self-sufficiency ratio, pass-through grants have been subtracted from total operating expenses.</t>
  </si>
  <si>
    <t>CAGR</t>
  </si>
  <si>
    <t>Cash and Equiv/Current Liabilities</t>
  </si>
  <si>
    <t xml:space="preserve">   Self-Sufficiency (a)</t>
  </si>
  <si>
    <t xml:space="preserve">   Deployment (b)</t>
  </si>
  <si>
    <t>(b) Net assets available for financing include net assets temporarily or permanently restricted for financing plus all unrestricted net assets.</t>
  </si>
  <si>
    <t>Outcome Data</t>
  </si>
  <si>
    <t>Sub Debt</t>
  </si>
  <si>
    <t>Total Loans Outstanding ($)</t>
  </si>
  <si>
    <t xml:space="preserve">   Net Worth Ratios</t>
  </si>
  <si>
    <t>Real Estate (or Net Fixed Assets)/Total Assets</t>
  </si>
  <si>
    <t>Past Due 31-60 Days</t>
  </si>
  <si>
    <t>Past Due &gt; 90 Days</t>
  </si>
  <si>
    <t>Past Due &gt; 30 Days</t>
  </si>
  <si>
    <t xml:space="preserve">  Portfolio Quality</t>
  </si>
  <si>
    <t xml:space="preserve">      $ Amount</t>
  </si>
  <si>
    <t xml:space="preserve">     % of Outstandings</t>
  </si>
  <si>
    <t>optional: CARS analysts use only if available and relevant. Otherwise HIDE!</t>
  </si>
  <si>
    <t>Loans Disbursed (Current year) $</t>
  </si>
  <si>
    <t>Outcome Data CDFI Uses</t>
  </si>
  <si>
    <t>Output Data CDFI Uses</t>
  </si>
  <si>
    <t>Assets Restricted for Long Term Investments</t>
  </si>
  <si>
    <t>Borrower Escrow Accounts</t>
  </si>
  <si>
    <t>Unrestricted, Designated by Board for Future Credit Losses</t>
  </si>
  <si>
    <t>Temporarily Restricted - For Future Credit Losses</t>
  </si>
  <si>
    <t>Contributions</t>
  </si>
  <si>
    <t>Provision for Credit Losses</t>
  </si>
  <si>
    <t>In-Kind Services</t>
  </si>
  <si>
    <t>Temporarily Restricted - Other</t>
  </si>
  <si>
    <t>Unrestricted - Designated for Financing</t>
  </si>
  <si>
    <t>Contracts Receivable</t>
  </si>
  <si>
    <t>Unrestricted Grants and Contributions</t>
  </si>
  <si>
    <t>Contract Revenue and Government Revenue and Fees</t>
  </si>
  <si>
    <t>(04/06)</t>
  </si>
  <si>
    <t>Recoverable Grant Payable</t>
  </si>
  <si>
    <t>Cash and Investments - Operating Fund</t>
  </si>
  <si>
    <t>Cash and investments - Lending Fund</t>
  </si>
  <si>
    <t>Loan Portfolio (Gross)</t>
  </si>
  <si>
    <t>Asset Composition</t>
  </si>
  <si>
    <t>Accounts Receivable</t>
  </si>
  <si>
    <t>Loans Receivable (net)</t>
  </si>
  <si>
    <t>Delinquencies - $</t>
  </si>
  <si>
    <t>$ Past Due</t>
  </si>
  <si>
    <t>31-60 Days</t>
  </si>
  <si>
    <t>61-90 Days</t>
  </si>
  <si>
    <t>&gt; 90 Days</t>
  </si>
  <si>
    <t>Delinquencies (% of Port.)</t>
  </si>
  <si>
    <t>Portfolio Quality - $</t>
  </si>
  <si>
    <t>Total Delinquencies &gt; 30 Days</t>
  </si>
  <si>
    <t>Loan Loss Reserve</t>
  </si>
  <si>
    <t>Write-offs (net)</t>
  </si>
  <si>
    <t>Portfolio Quality - %</t>
  </si>
  <si>
    <t>Earnings  (note that interim is not graphed since it skews things)</t>
  </si>
  <si>
    <t>Expenses (include grants when necessary, interim not graphed)</t>
  </si>
  <si>
    <t>Unrestricted Revenue Vs. Expenses (interim not graphed)</t>
  </si>
  <si>
    <t>Self-Sufficiency</t>
  </si>
  <si>
    <t>EQ2 payable - Current Portion</t>
  </si>
  <si>
    <t>Investments</t>
  </si>
  <si>
    <t>Non-Current Loans Receivable</t>
  </si>
  <si>
    <t xml:space="preserve">Net Write Offs </t>
  </si>
  <si>
    <t>Operating Expenses (Net Unrealized)</t>
  </si>
  <si>
    <t>Total Expenses (Net Unrealized)</t>
  </si>
  <si>
    <t>Recoveries/Outstandings</t>
  </si>
  <si>
    <t>Gross Amount Charged Off/Outstandings</t>
  </si>
  <si>
    <t xml:space="preserve">Earned Rev/Expenses  </t>
  </si>
  <si>
    <t>Past Due 61-90 Days</t>
  </si>
  <si>
    <t>Gross Amount Charged Off</t>
  </si>
  <si>
    <t>Statement of Activities</t>
  </si>
  <si>
    <t>Unrestricted - Designated by Board for Future Credit Losses</t>
  </si>
  <si>
    <t>Beginning Net Asset Balance (Year-End Audit)</t>
  </si>
  <si>
    <t>less Interest Expense</t>
  </si>
  <si>
    <t xml:space="preserve">Loans &amp; Inv Outstanding/(Debt + EQ2 + Net Assets Available for Financing) </t>
  </si>
  <si>
    <t xml:space="preserve">   Debt Ratios</t>
  </si>
  <si>
    <t xml:space="preserve">   Debt</t>
  </si>
  <si>
    <t>Operating Expenses/Total # of Loans</t>
  </si>
  <si>
    <t>Loans Outstanding ($)/# FTE Lending Staff</t>
  </si>
  <si>
    <t>Net Charge-Offs</t>
  </si>
  <si>
    <t>Impact</t>
  </si>
  <si>
    <t>Funds Available for Financing (Debt + Net Assets Available for Financing)</t>
  </si>
  <si>
    <t>% Change from Prior Year</t>
  </si>
  <si>
    <t>Loans Disbursed</t>
  </si>
  <si>
    <t>Loans Committed but Not Disbursed</t>
  </si>
  <si>
    <t>NA</t>
  </si>
  <si>
    <t>Loans Outstanding</t>
  </si>
  <si>
    <t>Loans and Commitments Outstanding</t>
  </si>
  <si>
    <t>Output Measure</t>
  </si>
  <si>
    <t>Outcome Measure</t>
  </si>
  <si>
    <t xml:space="preserve">Capitalization and Capital Structure </t>
  </si>
  <si>
    <t>Temporarily Restricted Net Assets</t>
  </si>
  <si>
    <t>Permanently Restricted Net Assets</t>
  </si>
  <si>
    <t>Net Asset Ratio</t>
  </si>
  <si>
    <t xml:space="preserve">Unrestricted Net Asset Ratio </t>
  </si>
  <si>
    <t>(Unrestricted Net Assets + Temporarily Restricted Net Assets for Loans)/Total Debt</t>
  </si>
  <si>
    <t>Note: correct formula if including PRNA for financing</t>
  </si>
  <si>
    <t>Use table in Word template</t>
  </si>
  <si>
    <t>Use Table in Word Template</t>
  </si>
  <si>
    <t>Individuals</t>
  </si>
  <si>
    <t>Financial Institutions</t>
  </si>
  <si>
    <t>Foundations</t>
  </si>
  <si>
    <t>Total</t>
  </si>
  <si>
    <t>Faith-Based Institutions</t>
  </si>
  <si>
    <t>Government</t>
  </si>
  <si>
    <t>Type of Investor</t>
  </si>
  <si>
    <t>Number of Investors</t>
  </si>
  <si>
    <t>% of Total Loans Payable</t>
  </si>
  <si>
    <t>Banks, Foundations, and Others</t>
  </si>
  <si>
    <t>Faith-Based Organizations</t>
  </si>
  <si>
    <t>Number of investors</t>
  </si>
  <si>
    <t>Total Debt/Total Funds Available for Financing</t>
  </si>
  <si>
    <t>Annual Interest paid $</t>
  </si>
  <si>
    <r>
      <t xml:space="preserve">Table X. Largest Investors at </t>
    </r>
    <r>
      <rPr>
        <b/>
        <sz val="10"/>
        <color indexed="10"/>
        <rFont val="Tahoma"/>
        <family val="2"/>
      </rPr>
      <t>DATE</t>
    </r>
  </si>
  <si>
    <t>Name of Investor</t>
  </si>
  <si>
    <t>Dollar Amount</t>
  </si>
  <si>
    <t>Net Loans Receivable</t>
  </si>
  <si>
    <t>Cash and Investments</t>
  </si>
  <si>
    <t>Other Receivables and Other Assets</t>
  </si>
  <si>
    <t>Fixed Assets</t>
  </si>
  <si>
    <t>May need to modify formula!! Make sure all appropriate cells are included!!!</t>
  </si>
  <si>
    <t>Table X. Loan Products and Terms</t>
  </si>
  <si>
    <t>Loan Type</t>
  </si>
  <si>
    <t xml:space="preserve">     Total</t>
  </si>
  <si>
    <r>
      <t xml:space="preserve">Table X. Portfolio LTV Ratios and Lien Position Analysis at </t>
    </r>
    <r>
      <rPr>
        <b/>
        <sz val="10"/>
        <color indexed="10"/>
        <rFont val="Tahoma"/>
        <family val="2"/>
      </rPr>
      <t>DATE</t>
    </r>
  </si>
  <si>
    <t>Lien Position</t>
  </si>
  <si>
    <t>&lt; 75%</t>
  </si>
  <si>
    <t>76%-90%</t>
  </si>
  <si>
    <t>91%-100%</t>
  </si>
  <si>
    <t>&gt;100%</t>
  </si>
  <si>
    <t>% of Total Portfolio</t>
  </si>
  <si>
    <t>First Position</t>
  </si>
  <si>
    <t>Subordinated</t>
  </si>
  <si>
    <t>Unsecured</t>
  </si>
  <si>
    <t>First Position, Subordinated Payment</t>
  </si>
  <si>
    <r>
      <t xml:space="preserve">Enter Senior Debt Outstanding by Type of Investor </t>
    </r>
    <r>
      <rPr>
        <b/>
        <sz val="10"/>
        <color indexed="10"/>
        <rFont val="Arial Narrow"/>
        <family val="2"/>
      </rPr>
      <t>(Current Year Only)</t>
    </r>
    <r>
      <rPr>
        <b/>
        <sz val="10"/>
        <rFont val="Arial Narrow"/>
        <family val="2"/>
      </rPr>
      <t>:</t>
    </r>
  </si>
  <si>
    <r>
      <t xml:space="preserve">Enter Sources of Capital </t>
    </r>
    <r>
      <rPr>
        <b/>
        <sz val="10"/>
        <color indexed="10"/>
        <rFont val="Arial Narrow"/>
        <family val="2"/>
      </rPr>
      <t>(Current Year Only)</t>
    </r>
    <r>
      <rPr>
        <b/>
        <sz val="10"/>
        <rFont val="Arial Narrow"/>
        <family val="2"/>
      </rPr>
      <t>:</t>
    </r>
  </si>
  <si>
    <r>
      <t xml:space="preserve">Enter Loans Payable by Largest Investors </t>
    </r>
    <r>
      <rPr>
        <b/>
        <sz val="10"/>
        <color indexed="10"/>
        <rFont val="Arial Narrow"/>
        <family val="2"/>
      </rPr>
      <t>(Current Year Only)</t>
    </r>
    <r>
      <rPr>
        <b/>
        <sz val="10"/>
        <rFont val="Arial Narrow"/>
        <family val="2"/>
      </rPr>
      <t>:</t>
    </r>
  </si>
  <si>
    <r>
      <t xml:space="preserve">Enter Loans Receivable by Type of Loan (e.g. predevelopment, acquisition, etc) </t>
    </r>
    <r>
      <rPr>
        <b/>
        <sz val="10"/>
        <color indexed="10"/>
        <rFont val="Arial Narrow"/>
        <family val="2"/>
      </rPr>
      <t>Current Year Only</t>
    </r>
  </si>
  <si>
    <t>Enter Type of Loan</t>
  </si>
  <si>
    <t>Enter Investor Name</t>
  </si>
  <si>
    <t>Affordable Housing</t>
  </si>
  <si>
    <t>Small Business</t>
  </si>
  <si>
    <t>Community Facilities</t>
  </si>
  <si>
    <t>Gross Write-Offs</t>
  </si>
  <si>
    <t>Consumer</t>
  </si>
  <si>
    <t>Note: Modify source data as required!!</t>
  </si>
  <si>
    <t>Education</t>
  </si>
  <si>
    <t>Loan-to-Value</t>
  </si>
  <si>
    <r>
      <t xml:space="preserve">Enter Loan-to-Value and Lien Positions on Loans Receivable </t>
    </r>
    <r>
      <rPr>
        <b/>
        <sz val="10"/>
        <color indexed="10"/>
        <rFont val="Arial Narrow"/>
        <family val="2"/>
      </rPr>
      <t>(Current Yr Only)</t>
    </r>
    <r>
      <rPr>
        <b/>
        <sz val="10"/>
        <rFont val="Arial Narrow"/>
        <family val="2"/>
      </rPr>
      <t>:</t>
    </r>
  </si>
  <si>
    <t>Delinquencies</t>
  </si>
  <si>
    <t>31–60 Days</t>
  </si>
  <si>
    <t>61–90 Days</t>
  </si>
  <si>
    <t xml:space="preserve">&gt; 90 Days </t>
  </si>
  <si>
    <t>Total Delinquencies</t>
  </si>
  <si>
    <t xml:space="preserve">Write-Offs </t>
  </si>
  <si>
    <t>Net Write-Off</t>
  </si>
  <si>
    <t>Table X. Delinquencies, Reserves, and Write-Offs</t>
  </si>
  <si>
    <t>% of Portfolio</t>
  </si>
  <si>
    <t xml:space="preserve">Table X. Approval Limits </t>
  </si>
  <si>
    <t>Total Revenue</t>
  </si>
  <si>
    <t>Figure X. Earned Income Analysis</t>
  </si>
  <si>
    <t>Other Earned Income</t>
  </si>
  <si>
    <t>Government and Other Contract Revenue</t>
  </si>
  <si>
    <t>Loan Fees</t>
  </si>
  <si>
    <t>Figure X. Expenses</t>
  </si>
  <si>
    <t>Other Operating Expenses</t>
  </si>
  <si>
    <t>Loan Loss Allocation</t>
  </si>
  <si>
    <t>Interest Expense</t>
  </si>
  <si>
    <t>Cash and Equivalent/Current Liabilities</t>
  </si>
  <si>
    <t>Deployment Ratio</t>
  </si>
  <si>
    <t>FYE 2006</t>
  </si>
  <si>
    <t>UPDATE YEAR</t>
  </si>
  <si>
    <t>Note: Modify Source Data Table below as required!!!</t>
  </si>
  <si>
    <t>Note: Modify source data table below as required!!</t>
  </si>
  <si>
    <t>% of Outstanding Portfolio</t>
  </si>
  <si>
    <t>Average Balance Outstanding</t>
  </si>
  <si>
    <t># of Loans</t>
  </si>
  <si>
    <t>Key Ratios:</t>
  </si>
  <si>
    <t>Table may be optional if CDFI does not track data or may need to adapt</t>
  </si>
  <si>
    <r>
      <t xml:space="preserve">Table X. Sources of Debt at </t>
    </r>
    <r>
      <rPr>
        <b/>
        <sz val="10"/>
        <color indexed="10"/>
        <rFont val="Tahoma"/>
        <family val="2"/>
      </rPr>
      <t>DATE</t>
    </r>
  </si>
  <si>
    <t>Average per Investor ($000)</t>
  </si>
  <si>
    <t>Total Loans Payable</t>
  </si>
  <si>
    <t>Check formula for total avg rate to make sure picking up from right cells on borrower!!!</t>
  </si>
  <si>
    <t>Total Loans Outstanding (Gross)</t>
  </si>
  <si>
    <t xml:space="preserve">   Interest Coverage Ratio</t>
  </si>
  <si>
    <t>Total Financing Funds</t>
  </si>
  <si>
    <t>% Change in Earned Revenue from Prior Year</t>
  </si>
  <si>
    <t>Total FTE Staff</t>
  </si>
  <si>
    <t>Total FTE Lending Staff</t>
  </si>
  <si>
    <t>(Op Rev - Op Exp + Interest Expense + LLR Allocation + Deprec)/Interest Expense</t>
  </si>
  <si>
    <t>Net Assets Available for Loan Losses</t>
  </si>
  <si>
    <t>LLR Amount</t>
  </si>
  <si>
    <t>Loans Committed but not Disbursed $</t>
  </si>
  <si>
    <t>(in $000s)</t>
  </si>
  <si>
    <t>Net Margin: Surplus (Deficit) from Operations/Unrestricted Revenue</t>
  </si>
  <si>
    <t>Self-Sufficiency: Earned Revenue/Total Expenses</t>
  </si>
  <si>
    <t>Earnings on Idle Funds, Interest, and Realized Gains (Losses)</t>
  </si>
  <si>
    <t>Loans Receivable ($ Amount)</t>
  </si>
  <si>
    <t>EQ2</t>
  </si>
  <si>
    <t>Loans Restructured During FY ($)</t>
  </si>
  <si>
    <t>Loans Restructured in Portfolio ($)</t>
  </si>
  <si>
    <t>Total Debt/Net  Assets</t>
  </si>
  <si>
    <t>Total Debt/Net Assets</t>
  </si>
  <si>
    <t xml:space="preserve">Net Assets &amp; Equity Equivalents (EQ2)/Total Assets  </t>
  </si>
  <si>
    <t>Surplus (Deficit) from Operations/Unrestricted Revenue</t>
  </si>
  <si>
    <t>Loans Closed (Current Year) #</t>
  </si>
  <si>
    <t>Loans Closed (Current Year) $</t>
  </si>
  <si>
    <t xml:space="preserve">   Asset Composition</t>
  </si>
  <si>
    <t>Temporarily Restricted Net Assets for Financing Activities</t>
  </si>
  <si>
    <t>Permanently Restricted Net Assets for Financing Activities</t>
  </si>
  <si>
    <t xml:space="preserve">   Loan Loss Reserve (LLR)</t>
  </si>
  <si>
    <t>Long Term Loans Receivable</t>
  </si>
  <si>
    <t>Unrealized Gains (Losses)</t>
  </si>
  <si>
    <t xml:space="preserve">Other Fees and Other Income </t>
  </si>
  <si>
    <t>Total Debt Maturing</t>
  </si>
  <si>
    <t>% of Total Debt</t>
  </si>
  <si>
    <t>Year of Debt Maturity</t>
  </si>
  <si>
    <t>Weighted Average Remaining Term on Debt</t>
  </si>
  <si>
    <t>Risk Rating</t>
  </si>
  <si>
    <t>Number of Loans</t>
  </si>
  <si>
    <t>Loans Outstanding (Gross $000)</t>
  </si>
  <si>
    <t>% of Loans Outstanding</t>
  </si>
  <si>
    <t>Required Reserve Amount</t>
  </si>
  <si>
    <t>Table X. Risk Ratings and Reserves as of DATE</t>
  </si>
  <si>
    <t>Figure X. Risk Ratings</t>
  </si>
  <si>
    <t>Total Loan Loss Reserve at DATE</t>
  </si>
  <si>
    <t>FYE 2007</t>
  </si>
  <si>
    <t>FYE 2008</t>
  </si>
  <si>
    <t>FYE 2009</t>
  </si>
  <si>
    <t>FYE 2010</t>
  </si>
  <si>
    <t>Loans Restructured During Period</t>
  </si>
  <si>
    <t>Loans on Nonaccrual</t>
  </si>
  <si>
    <t>Table X. Remaining Term on Debt at FYE 201X</t>
  </si>
  <si>
    <t>Characteristics</t>
  </si>
  <si>
    <t>Annual Interest Rate</t>
  </si>
  <si>
    <t>DATE</t>
  </si>
  <si>
    <t>Other Real Estate Owned (OREO)</t>
  </si>
  <si>
    <t xml:space="preserve">$ </t>
  </si>
  <si>
    <t>Restructured Loans Outstanding</t>
  </si>
  <si>
    <t>Total Debt Maturing ($)</t>
  </si>
  <si>
    <r>
      <t xml:space="preserve">Enter Remaining Term on Debt from Audit </t>
    </r>
    <r>
      <rPr>
        <b/>
        <sz val="10"/>
        <color indexed="10"/>
        <rFont val="Arial Narrow"/>
        <family val="2"/>
      </rPr>
      <t>(as of Current FYE Only)</t>
    </r>
    <r>
      <rPr>
        <b/>
        <sz val="10"/>
        <rFont val="Arial Narrow"/>
        <family val="2"/>
      </rPr>
      <t>:</t>
    </r>
  </si>
  <si>
    <t>Loans on Nonaccrual (per audit)</t>
  </si>
  <si>
    <t>RR CATEGORY</t>
  </si>
  <si>
    <t>$$</t>
  </si>
  <si>
    <t>Enter Risk Ratings by CDFI's Categories at each period</t>
  </si>
  <si>
    <t xml:space="preserve">Loan Loss Reserve Requirement </t>
  </si>
  <si>
    <t>Loan Loss Reserve Requirement (%)</t>
  </si>
  <si>
    <t>FY 200X</t>
  </si>
  <si>
    <t>Rate/
Maturity</t>
  </si>
  <si>
    <t>Loan Loss Reserve/
Outstandings</t>
  </si>
  <si>
    <t>Figure X. Asset Composition</t>
  </si>
  <si>
    <t>Table X. Output Indicators</t>
  </si>
  <si>
    <t>Table X. Alignment of Key Programs or Funds with Mission</t>
  </si>
  <si>
    <t>Table X. Use of Financing Resources</t>
  </si>
  <si>
    <t>Figure X. Deployment Rates</t>
  </si>
  <si>
    <t>Table X. Summary of Sample Outcome Measures</t>
  </si>
  <si>
    <t>Figure X. Capital Composition</t>
  </si>
  <si>
    <t>Table X. Net Worth Composition and Leverage</t>
  </si>
  <si>
    <t>Table X. Temporarily Restricted Net Asset Characteristics</t>
  </si>
  <si>
    <t>Figure X. Lending Trends by Sector</t>
  </si>
  <si>
    <r>
      <t>Table X</t>
    </r>
    <r>
      <rPr>
        <sz val="10"/>
        <rFont val="Tahoma"/>
        <family val="2"/>
      </rPr>
      <t xml:space="preserve">. </t>
    </r>
    <r>
      <rPr>
        <b/>
        <sz val="10"/>
        <rFont val="Tahoma"/>
        <family val="2"/>
      </rPr>
      <t>Earnings History</t>
    </r>
  </si>
  <si>
    <t>Table X. Key Liquidity Indicators</t>
  </si>
  <si>
    <r>
      <t xml:space="preserve">Table X. Portfolio Composition by Loan Type at </t>
    </r>
    <r>
      <rPr>
        <b/>
        <sz val="10"/>
        <color rgb="FFFF0000"/>
        <rFont val="Tahoma"/>
        <family val="2"/>
      </rPr>
      <t>DATE</t>
    </r>
  </si>
  <si>
    <r>
      <t>FY Financing Receivable $ by Sector</t>
    </r>
    <r>
      <rPr>
        <b/>
        <sz val="10"/>
        <color indexed="10"/>
        <rFont val="Arial Narrow"/>
        <family val="2"/>
      </rPr>
      <t>:</t>
    </r>
  </si>
  <si>
    <r>
      <t xml:space="preserve"># Receivable </t>
    </r>
    <r>
      <rPr>
        <b/>
        <sz val="10"/>
        <color indexed="10"/>
        <rFont val="Arial Narrow"/>
        <family val="2"/>
      </rPr>
      <t>(Curr Yr Only!)</t>
    </r>
  </si>
  <si>
    <t>(Op Cash &amp; Equiv)/(Expenses/12)  (c)</t>
  </si>
  <si>
    <t xml:space="preserve">(c) The "months of operating cash" calculation includes all unrestricted cash, plus any temporarily restricted cash available for operations. Depreciation, loan loss allocation and pass-through grants are subtracted from total expenses for the purposes of this calculation. </t>
  </si>
  <si>
    <t>Other Real Estate Owned</t>
  </si>
  <si>
    <t>NA = not applicable</t>
  </si>
  <si>
    <t>OPTIONAL RATIOS (analysts use discretion to determine what it would be helpful to calculate.  If relevant for analysis, move to appropriate sections of Additional Ratios to include in report.</t>
  </si>
  <si>
    <t>(Unrestricted Net Assets + Loan Loss Reserves)/Gross Loans Receivable</t>
  </si>
  <si>
    <t>Weighted Average Rate*</t>
  </si>
  <si>
    <t xml:space="preserve">*The average rate in Table X is calculated by... </t>
  </si>
  <si>
    <t>Child Care</t>
  </si>
  <si>
    <t>Loans on nonaccrual that are ($) delinquent, and not included in loans past due</t>
  </si>
  <si>
    <t>Loans Restructured During FY</t>
  </si>
  <si>
    <t>Loans Restructured in Portfolio</t>
  </si>
  <si>
    <t>Cash and investments</t>
  </si>
  <si>
    <t>Restricted Cash</t>
  </si>
  <si>
    <t>Accounts Receivable (other)</t>
  </si>
  <si>
    <t>Deferred Revenue</t>
  </si>
  <si>
    <t>Recoverable Grants Payable</t>
  </si>
  <si>
    <t>Pass-through Grants</t>
  </si>
  <si>
    <t>Other Income</t>
  </si>
  <si>
    <t>`</t>
  </si>
  <si>
    <t>Lines of Credit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</si>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</sst>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m/d/yy;@"/>
    <numFmt numFmtId="167" formatCode="_(&quot;$&quot;* #,##0_);_(&quot;$&quot;* \(#,##0\);_(&quot;$&quot;* &quot;-&quot;??_);_(@_)"/>
    <numFmt numFmtId="168" formatCode="0.0%"/>
    <numFmt numFmtId="169" formatCode="_(&quot;$&quot;* #,##0.0_);_(&quot;$&quot;* \(#,##0.0\);_(&quot;$&quot;* &quot;-&quot;??_);_(@_)"/>
    <numFmt numFmtId="170" formatCode="mm/dd/yy"/>
    <numFmt numFmtId="171" formatCode="&quot;$&quot;#,##0"/>
    <numFmt numFmtId="172" formatCode="#,##0.0"/>
    <numFmt numFmtId="173" formatCode="_(* #,##0.0_);_(* \(#,##0.0\);_(* &quot;-&quot;??_);_(@_)"/>
  </numFmts>
  <fonts count="53" x14ac:knownFonts="1">
    <font>
      <sz val="10"/>
      <name val="Arial Narrow"/>
    </font>
    <font>
      <sz val="10"/>
      <name val="Arial Narrow"/>
      <family val="2"/>
    </font>
    <font>
      <b/>
      <sz val="10"/>
      <name val="Arial Narrow"/>
      <family val="2"/>
    </font>
    <font>
      <sz val="8"/>
      <name val="Arial Narrow"/>
      <family val="2"/>
    </font>
    <font>
      <sz val="10"/>
      <name val="Arial Narrow"/>
      <family val="2"/>
    </font>
    <font>
      <sz val="8"/>
      <color indexed="81"/>
      <name val="Tahoma"/>
      <family val="2"/>
    </font>
    <font>
      <b/>
      <sz val="8"/>
      <color indexed="81"/>
      <name val="Tahoma"/>
      <family val="2"/>
    </font>
    <font>
      <b/>
      <sz val="10"/>
      <name val="Arial"/>
      <family val="2"/>
    </font>
    <font>
      <sz val="10"/>
      <color indexed="12"/>
      <name val="Arial"/>
      <family val="2"/>
    </font>
    <font>
      <sz val="10"/>
      <color indexed="12"/>
      <name val="Arial"/>
      <family val="2"/>
    </font>
    <font>
      <sz val="10"/>
      <name val="Arial"/>
      <family val="2"/>
    </font>
    <font>
      <u val="singleAccounting"/>
      <sz val="10"/>
      <name val="Arial Narrow"/>
      <family val="2"/>
    </font>
    <font>
      <u val="singleAccounting"/>
      <sz val="10"/>
      <name val="Arial Narrow"/>
      <family val="2"/>
    </font>
    <font>
      <sz val="10"/>
      <color indexed="12"/>
      <name val="Arial Narrow"/>
      <family val="2"/>
    </font>
    <font>
      <b/>
      <sz val="14"/>
      <name val="Arial"/>
      <family val="2"/>
    </font>
    <font>
      <b/>
      <sz val="14"/>
      <name val="Arial Narrow"/>
      <family val="2"/>
    </font>
    <font>
      <sz val="10"/>
      <color indexed="10"/>
      <name val="Arial Narrow"/>
      <family val="2"/>
    </font>
    <font>
      <b/>
      <sz val="10"/>
      <color indexed="10"/>
      <name val="Arial Narrow"/>
      <family val="2"/>
    </font>
    <font>
      <b/>
      <i/>
      <sz val="11"/>
      <name val="Arial Narrow"/>
      <family val="2"/>
    </font>
    <font>
      <sz val="11"/>
      <name val="Arial Narrow"/>
      <family val="2"/>
    </font>
    <font>
      <b/>
      <sz val="11"/>
      <name val="Arial Narrow"/>
      <family val="2"/>
    </font>
    <font>
      <sz val="10"/>
      <name val="Arial"/>
      <family val="2"/>
    </font>
    <font>
      <i/>
      <sz val="10"/>
      <name val="Arial"/>
      <family val="2"/>
    </font>
    <font>
      <b/>
      <sz val="10"/>
      <color indexed="12"/>
      <name val="Arial"/>
      <family val="2"/>
    </font>
    <font>
      <b/>
      <sz val="10"/>
      <color indexed="8"/>
      <name val="Arial"/>
      <family val="2"/>
    </font>
    <font>
      <sz val="10"/>
      <color indexed="8"/>
      <name val="Arial"/>
      <family val="2"/>
    </font>
    <font>
      <vertAlign val="superscript"/>
      <sz val="10"/>
      <name val="Arial"/>
      <family val="2"/>
    </font>
    <font>
      <sz val="10"/>
      <color indexed="12"/>
      <name val="Arial Narrow"/>
      <family val="2"/>
    </font>
    <font>
      <u val="singleAccounting"/>
      <sz val="10"/>
      <color indexed="12"/>
      <name val="Arial"/>
      <family val="2"/>
    </font>
    <font>
      <sz val="16"/>
      <name val="Tahoma"/>
      <family val="2"/>
    </font>
    <font>
      <sz val="10"/>
      <name val="Tahoma"/>
      <family val="2"/>
    </font>
    <font>
      <b/>
      <sz val="10"/>
      <name val="Tahoma"/>
      <family val="2"/>
    </font>
    <font>
      <sz val="10"/>
      <color indexed="8"/>
      <name val="Tahoma"/>
      <family val="2"/>
    </font>
    <font>
      <u/>
      <sz val="10"/>
      <color indexed="12"/>
      <name val="Arial"/>
      <family val="2"/>
    </font>
    <font>
      <b/>
      <sz val="10"/>
      <color indexed="53"/>
      <name val="Arial"/>
      <family val="2"/>
    </font>
    <font>
      <b/>
      <sz val="12"/>
      <name val="Arial Narrow"/>
      <family val="2"/>
    </font>
    <font>
      <b/>
      <sz val="10"/>
      <color indexed="81"/>
      <name val="Tahoma"/>
      <family val="2"/>
    </font>
    <font>
      <sz val="10"/>
      <color indexed="81"/>
      <name val="Tahoma"/>
      <family val="2"/>
    </font>
    <font>
      <b/>
      <sz val="16"/>
      <color indexed="10"/>
      <name val="Tahoma"/>
      <family val="2"/>
    </font>
    <font>
      <sz val="9"/>
      <name val="Tahoma"/>
      <family val="2"/>
    </font>
    <font>
      <b/>
      <sz val="10"/>
      <color indexed="10"/>
      <name val="Tahoma"/>
      <family val="2"/>
    </font>
    <font>
      <b/>
      <sz val="10"/>
      <name val="Arial Narrow"/>
      <family val="2"/>
    </font>
    <font>
      <sz val="10"/>
      <color indexed="62"/>
      <name val="Arial Narrow"/>
      <family val="2"/>
    </font>
    <font>
      <b/>
      <sz val="12"/>
      <name val="Tahoma"/>
      <family val="2"/>
    </font>
    <font>
      <i/>
      <sz val="10"/>
      <name val="Tahoma"/>
      <family val="2"/>
    </font>
    <font>
      <b/>
      <i/>
      <sz val="10"/>
      <name val="Tahoma"/>
      <family val="2"/>
    </font>
    <font>
      <u/>
      <sz val="10"/>
      <name val="Arial Narrow"/>
      <family val="2"/>
    </font>
    <font>
      <sz val="9"/>
      <color indexed="81"/>
      <name val="Tahoma"/>
      <family val="2"/>
    </font>
    <font>
      <b/>
      <sz val="9"/>
      <color indexed="81"/>
      <name val="Tahoma"/>
      <family val="2"/>
    </font>
    <font>
      <b/>
      <sz val="10"/>
      <color rgb="FFFF0000"/>
      <name val="Tahoma"/>
      <family val="2"/>
    </font>
    <font>
      <sz val="10"/>
      <color indexed="10"/>
      <name val="Tahoma"/>
      <family val="2"/>
    </font>
    <font>
      <u val="singleAccounting"/>
      <sz val="10"/>
      <name val="Tahoma"/>
      <family val="2"/>
    </font>
    <font>
      <b/>
      <sz val="12"/>
      <color indexed="10"/>
      <name val="Tahoma"/>
      <family val="2"/>
    </font>
  </fonts>
  <fills count="13">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6"/>
        <bgColor indexed="64"/>
      </patternFill>
    </fill>
    <fill>
      <patternFill patternType="solid">
        <fgColor indexed="47"/>
        <bgColor indexed="64"/>
      </patternFill>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rgb="FFFFFF00"/>
        <bgColor indexed="64"/>
      </patternFill>
    </fill>
    <fill>
      <patternFill patternType="solid">
        <fgColor theme="0" tint="-0.24994659260841701"/>
        <bgColor indexed="64"/>
      </patternFill>
    </fill>
  </fills>
  <borders count="45">
    <border>
      <left/>
      <right/>
      <top/>
      <bottom/>
      <diagonal/>
    </border>
    <border>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right/>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diagonal/>
    </border>
    <border>
      <left style="thin">
        <color indexed="64"/>
      </left>
      <right/>
      <top/>
      <bottom style="thin">
        <color indexed="64"/>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top style="double">
        <color indexed="64"/>
      </top>
      <bottom/>
      <diagonal/>
    </border>
    <border>
      <left/>
      <right/>
      <top style="double">
        <color indexed="64"/>
      </top>
      <bottom style="thin">
        <color indexed="64"/>
      </bottom>
      <diagonal/>
    </border>
    <border>
      <left style="thin">
        <color indexed="64"/>
      </left>
      <right/>
      <top/>
      <bottom style="double">
        <color indexed="64"/>
      </bottom>
      <diagonal/>
    </border>
    <border>
      <left/>
      <right/>
      <top style="double">
        <color indexed="64"/>
      </top>
      <bottom/>
      <diagonal/>
    </border>
    <border>
      <left style="dotted">
        <color indexed="64"/>
      </left>
      <right style="dotted">
        <color indexed="64"/>
      </right>
      <top/>
      <bottom style="double">
        <color indexed="64"/>
      </bottom>
      <diagonal/>
    </border>
    <border>
      <left/>
      <right/>
      <top style="thin">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uble">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ck">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21" fillId="0" borderId="0"/>
    <xf numFmtId="9" fontId="1" fillId="0" borderId="0" applyFont="0" applyFill="0" applyBorder="0" applyAlignment="0" applyProtection="0"/>
  </cellStyleXfs>
  <cellXfs count="796">
    <xf numFmtId="0" fontId="0" fillId="0" borderId="0" xfId="0"/>
    <xf numFmtId="0" fontId="2" fillId="0" borderId="0" xfId="0" applyFont="1"/>
    <xf numFmtId="14" fontId="2" fillId="0" borderId="0" xfId="0" applyNumberFormat="1" applyFont="1" applyAlignment="1">
      <alignment horizontal="center"/>
    </xf>
    <xf numFmtId="0" fontId="2" fillId="0" borderId="0" xfId="0" applyFont="1" applyAlignment="1">
      <alignment horizontal="center"/>
    </xf>
    <xf numFmtId="0" fontId="4" fillId="0" borderId="0" xfId="0" applyFont="1"/>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4" fillId="0" borderId="0" xfId="0" applyFont="1" applyAlignment="1">
      <alignment horizontal="right" wrapText="1"/>
    </xf>
    <xf numFmtId="43" fontId="2" fillId="0" borderId="0" xfId="1" applyFont="1"/>
    <xf numFmtId="43" fontId="4" fillId="0" borderId="0" xfId="1" applyFont="1"/>
    <xf numFmtId="0" fontId="7" fillId="0" borderId="0" xfId="0" applyFont="1"/>
    <xf numFmtId="0" fontId="0" fillId="0" borderId="0" xfId="0" applyBorder="1"/>
    <xf numFmtId="38" fontId="8" fillId="0" borderId="0" xfId="0" applyNumberFormat="1" applyFont="1" applyBorder="1"/>
    <xf numFmtId="0" fontId="0" fillId="0" borderId="0" xfId="0" applyFill="1" applyBorder="1" applyAlignment="1"/>
    <xf numFmtId="165" fontId="8" fillId="0" borderId="0" xfId="1" applyNumberFormat="1" applyFont="1" applyBorder="1"/>
    <xf numFmtId="38" fontId="10" fillId="0" borderId="0" xfId="0" applyNumberFormat="1" applyFont="1" applyBorder="1"/>
    <xf numFmtId="165" fontId="10" fillId="0" borderId="0" xfId="1" applyNumberFormat="1" applyFont="1" applyBorder="1" applyAlignment="1">
      <alignment horizontal="center"/>
    </xf>
    <xf numFmtId="167" fontId="0" fillId="0" borderId="0" xfId="2" applyNumberFormat="1" applyFont="1" applyBorder="1"/>
    <xf numFmtId="165" fontId="0" fillId="0" borderId="0" xfId="1" applyNumberFormat="1" applyFont="1" applyBorder="1"/>
    <xf numFmtId="165" fontId="11" fillId="0" borderId="0" xfId="1" applyNumberFormat="1" applyFont="1" applyBorder="1"/>
    <xf numFmtId="165" fontId="4" fillId="0" borderId="0" xfId="0" applyNumberFormat="1" applyFont="1" applyAlignment="1">
      <alignment wrapText="1"/>
    </xf>
    <xf numFmtId="165" fontId="4" fillId="0" borderId="0" xfId="0" applyNumberFormat="1" applyFont="1" applyAlignment="1">
      <alignment horizontal="right" wrapText="1"/>
    </xf>
    <xf numFmtId="9" fontId="4" fillId="0" borderId="0" xfId="5" applyFont="1" applyAlignment="1">
      <alignment wrapText="1"/>
    </xf>
    <xf numFmtId="165" fontId="0" fillId="0" borderId="0" xfId="0" applyNumberFormat="1"/>
    <xf numFmtId="0" fontId="0" fillId="0" borderId="0" xfId="0" applyFill="1"/>
    <xf numFmtId="38" fontId="13" fillId="0" borderId="0" xfId="0" applyNumberFormat="1" applyFont="1" applyAlignment="1">
      <alignment wrapText="1"/>
    </xf>
    <xf numFmtId="165" fontId="13" fillId="0" borderId="0" xfId="0" applyNumberFormat="1" applyFont="1" applyAlignment="1">
      <alignment wrapText="1"/>
    </xf>
    <xf numFmtId="43" fontId="4" fillId="0" borderId="0" xfId="1" applyFont="1" applyFill="1"/>
    <xf numFmtId="0" fontId="15" fillId="0" borderId="0" xfId="0" applyFont="1"/>
    <xf numFmtId="9" fontId="0" fillId="0" borderId="0" xfId="0" applyNumberFormat="1"/>
    <xf numFmtId="37" fontId="0" fillId="2" borderId="0" xfId="0" applyNumberFormat="1" applyFill="1"/>
    <xf numFmtId="37" fontId="0" fillId="0" borderId="0" xfId="0" applyNumberFormat="1"/>
    <xf numFmtId="0" fontId="2" fillId="3" borderId="0" xfId="0" applyFont="1" applyFill="1"/>
    <xf numFmtId="0" fontId="0" fillId="3" borderId="0" xfId="0" applyFill="1" applyAlignment="1">
      <alignment wrapText="1"/>
    </xf>
    <xf numFmtId="0" fontId="0" fillId="3" borderId="0" xfId="0" applyFill="1"/>
    <xf numFmtId="0" fontId="2" fillId="3" borderId="0" xfId="0" applyFont="1" applyFill="1" applyAlignment="1">
      <alignment wrapText="1"/>
    </xf>
    <xf numFmtId="0" fontId="4" fillId="3" borderId="0" xfId="0" applyFont="1" applyFill="1" applyAlignment="1">
      <alignment wrapText="1"/>
    </xf>
    <xf numFmtId="0" fontId="4" fillId="2" borderId="0" xfId="0" applyFont="1" applyFill="1" applyAlignment="1">
      <alignment horizontal="left" wrapText="1"/>
    </xf>
    <xf numFmtId="0" fontId="16" fillId="2" borderId="0" xfId="0" applyFont="1" applyFill="1" applyAlignment="1">
      <alignment wrapText="1"/>
    </xf>
    <xf numFmtId="14" fontId="0" fillId="0" borderId="0" xfId="0" applyNumberFormat="1" applyBorder="1" applyAlignment="1">
      <alignment horizontal="center"/>
    </xf>
    <xf numFmtId="0" fontId="0" fillId="0" borderId="1" xfId="0" applyBorder="1"/>
    <xf numFmtId="14" fontId="2" fillId="0" borderId="0" xfId="0" applyNumberFormat="1"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0" fontId="2" fillId="0" borderId="1" xfId="0" applyFont="1" applyBorder="1"/>
    <xf numFmtId="0" fontId="4" fillId="0" borderId="1" xfId="0" applyFont="1" applyBorder="1" applyAlignment="1">
      <alignment wrapText="1"/>
    </xf>
    <xf numFmtId="0" fontId="4" fillId="0" borderId="1" xfId="0" applyFont="1" applyBorder="1"/>
    <xf numFmtId="14" fontId="2" fillId="0" borderId="1" xfId="0" applyNumberFormat="1" applyFont="1" applyBorder="1" applyAlignment="1">
      <alignment horizontal="center"/>
    </xf>
    <xf numFmtId="165" fontId="4" fillId="0" borderId="0" xfId="0" applyNumberFormat="1" applyFont="1" applyBorder="1" applyAlignment="1">
      <alignment wrapText="1"/>
    </xf>
    <xf numFmtId="38" fontId="8" fillId="0" borderId="0" xfId="0" applyNumberFormat="1" applyFont="1" applyBorder="1" applyAlignment="1">
      <alignment horizontal="right"/>
    </xf>
    <xf numFmtId="0" fontId="18" fillId="4" borderId="2" xfId="0" applyFont="1" applyFill="1" applyBorder="1" applyAlignment="1" applyProtection="1">
      <alignment shrinkToFit="1"/>
    </xf>
    <xf numFmtId="0" fontId="18" fillId="4" borderId="3" xfId="0" applyFont="1" applyFill="1" applyBorder="1" applyAlignment="1" applyProtection="1">
      <alignment horizontal="right" shrinkToFit="1"/>
    </xf>
    <xf numFmtId="0" fontId="19" fillId="5" borderId="4" xfId="0" applyFont="1" applyFill="1" applyBorder="1" applyAlignment="1" applyProtection="1">
      <alignment shrinkToFit="1"/>
    </xf>
    <xf numFmtId="170" fontId="20" fillId="5" borderId="5" xfId="0" applyNumberFormat="1" applyFont="1" applyFill="1" applyBorder="1" applyProtection="1"/>
    <xf numFmtId="0" fontId="18" fillId="0" borderId="6" xfId="0" applyFont="1" applyFill="1" applyBorder="1" applyAlignment="1" applyProtection="1">
      <alignment shrinkToFit="1"/>
    </xf>
    <xf numFmtId="0" fontId="18" fillId="0" borderId="7" xfId="0" applyFont="1" applyFill="1" applyBorder="1" applyProtection="1"/>
    <xf numFmtId="0" fontId="19" fillId="0" borderId="6" xfId="0" quotePrefix="1" applyFont="1" applyBorder="1" applyAlignment="1" applyProtection="1">
      <alignment horizontal="left" shrinkToFit="1"/>
      <protection locked="0"/>
    </xf>
    <xf numFmtId="10" fontId="19" fillId="0" borderId="8" xfId="5" applyNumberFormat="1" applyFont="1" applyFill="1" applyBorder="1" applyProtection="1"/>
    <xf numFmtId="10" fontId="19" fillId="0" borderId="9" xfId="5" applyNumberFormat="1" applyFont="1" applyFill="1" applyBorder="1" applyProtection="1"/>
    <xf numFmtId="10" fontId="19" fillId="0" borderId="9" xfId="5" applyNumberFormat="1" applyFont="1" applyFill="1" applyBorder="1" applyAlignment="1" applyProtection="1">
      <alignment horizontal="right"/>
    </xf>
    <xf numFmtId="0" fontId="19" fillId="0" borderId="10" xfId="0" applyFont="1" applyBorder="1" applyAlignment="1" applyProtection="1">
      <alignment horizontal="left" shrinkToFit="1"/>
      <protection locked="0"/>
    </xf>
    <xf numFmtId="10" fontId="19" fillId="0" borderId="11" xfId="5" applyNumberFormat="1" applyFont="1" applyFill="1" applyBorder="1" applyProtection="1"/>
    <xf numFmtId="0" fontId="20" fillId="6" borderId="1" xfId="0" applyFont="1" applyFill="1" applyBorder="1" applyAlignment="1" applyProtection="1">
      <alignment horizontal="left" shrinkToFit="1"/>
    </xf>
    <xf numFmtId="10" fontId="19" fillId="0" borderId="12" xfId="5" applyNumberFormat="1" applyFont="1" applyFill="1" applyBorder="1" applyProtection="1"/>
    <xf numFmtId="0" fontId="0" fillId="0" borderId="1" xfId="0" applyBorder="1" applyAlignment="1">
      <alignment vertical="top" wrapText="1"/>
    </xf>
    <xf numFmtId="0" fontId="19" fillId="0" borderId="6" xfId="0" applyFont="1" applyBorder="1" applyAlignment="1" applyProtection="1">
      <alignment horizontal="left" shrinkToFit="1"/>
      <protection locked="0"/>
    </xf>
    <xf numFmtId="5" fontId="19" fillId="0" borderId="9" xfId="0" applyNumberFormat="1" applyFont="1" applyFill="1" applyBorder="1" applyProtection="1"/>
    <xf numFmtId="0" fontId="18" fillId="0" borderId="13" xfId="0" applyFont="1" applyFill="1" applyBorder="1" applyAlignment="1" applyProtection="1">
      <alignment shrinkToFit="1"/>
    </xf>
    <xf numFmtId="0" fontId="18" fillId="0" borderId="14" xfId="0" applyFont="1" applyFill="1" applyBorder="1" applyProtection="1"/>
    <xf numFmtId="10" fontId="19" fillId="0" borderId="8" xfId="0" applyNumberFormat="1" applyFont="1" applyFill="1" applyBorder="1" applyProtection="1"/>
    <xf numFmtId="0" fontId="19" fillId="0" borderId="6" xfId="0" quotePrefix="1" applyFont="1" applyFill="1" applyBorder="1" applyAlignment="1" applyProtection="1">
      <alignment horizontal="left" shrinkToFit="1"/>
      <protection locked="0"/>
    </xf>
    <xf numFmtId="9" fontId="19" fillId="0" borderId="9" xfId="5" applyFont="1" applyFill="1" applyBorder="1" applyProtection="1"/>
    <xf numFmtId="0" fontId="19" fillId="0" borderId="15" xfId="0" applyFont="1" applyBorder="1" applyProtection="1">
      <protection locked="0"/>
    </xf>
    <xf numFmtId="0" fontId="18" fillId="4" borderId="4" xfId="0" applyFont="1" applyFill="1" applyBorder="1" applyAlignment="1" applyProtection="1">
      <alignment shrinkToFit="1"/>
    </xf>
    <xf numFmtId="170" fontId="18" fillId="5" borderId="5" xfId="0" applyNumberFormat="1" applyFont="1" applyFill="1" applyBorder="1" applyProtection="1"/>
    <xf numFmtId="0" fontId="18" fillId="0" borderId="16" xfId="0" applyFont="1" applyFill="1" applyBorder="1" applyAlignment="1" applyProtection="1">
      <alignment shrinkToFit="1"/>
    </xf>
    <xf numFmtId="0" fontId="19" fillId="0" borderId="6" xfId="0" applyFont="1" applyBorder="1" applyAlignment="1" applyProtection="1">
      <alignment shrinkToFit="1"/>
      <protection locked="0"/>
    </xf>
    <xf numFmtId="0" fontId="19" fillId="0" borderId="15" xfId="0" quotePrefix="1" applyFont="1" applyBorder="1" applyAlignment="1" applyProtection="1">
      <alignment horizontal="left" shrinkToFit="1"/>
      <protection locked="0"/>
    </xf>
    <xf numFmtId="165" fontId="19" fillId="0" borderId="17" xfId="1" applyNumberFormat="1" applyFont="1" applyFill="1" applyBorder="1" applyProtection="1"/>
    <xf numFmtId="165" fontId="19" fillId="0" borderId="9" xfId="1" applyNumberFormat="1" applyFont="1" applyFill="1" applyBorder="1" applyProtection="1"/>
    <xf numFmtId="0" fontId="19" fillId="0" borderId="10" xfId="0" quotePrefix="1" applyFont="1" applyBorder="1" applyAlignment="1" applyProtection="1">
      <alignment horizontal="left" shrinkToFit="1"/>
      <protection locked="0"/>
    </xf>
    <xf numFmtId="0" fontId="20" fillId="6" borderId="18" xfId="0" quotePrefix="1" applyFont="1" applyFill="1" applyBorder="1" applyAlignment="1" applyProtection="1">
      <alignment horizontal="left" shrinkToFit="1"/>
      <protection locked="0"/>
    </xf>
    <xf numFmtId="0" fontId="19" fillId="6" borderId="18" xfId="0" applyFont="1" applyFill="1" applyBorder="1" applyProtection="1">
      <protection locked="0"/>
    </xf>
    <xf numFmtId="0" fontId="20" fillId="7" borderId="4" xfId="0" applyFont="1" applyFill="1" applyBorder="1" applyProtection="1"/>
    <xf numFmtId="14" fontId="20" fillId="5" borderId="5" xfId="0" applyNumberFormat="1" applyFont="1" applyFill="1" applyBorder="1" applyProtection="1"/>
    <xf numFmtId="14" fontId="20" fillId="5" borderId="19" xfId="0" applyNumberFormat="1" applyFont="1" applyFill="1" applyBorder="1" applyProtection="1"/>
    <xf numFmtId="14" fontId="20" fillId="5" borderId="20" xfId="0" applyNumberFormat="1" applyFont="1" applyFill="1" applyBorder="1" applyProtection="1"/>
    <xf numFmtId="10" fontId="19" fillId="0" borderId="6" xfId="0" applyNumberFormat="1" applyFont="1" applyFill="1" applyBorder="1" applyProtection="1"/>
    <xf numFmtId="171" fontId="19" fillId="0" borderId="6" xfId="0" applyNumberFormat="1" applyFont="1" applyFill="1" applyBorder="1" applyAlignment="1" applyProtection="1">
      <alignment horizontal="right"/>
    </xf>
    <xf numFmtId="0" fontId="19" fillId="0" borderId="6" xfId="0" applyFont="1" applyFill="1" applyBorder="1" applyAlignment="1" applyProtection="1">
      <alignment horizontal="left" shrinkToFit="1"/>
      <protection locked="0"/>
    </xf>
    <xf numFmtId="9" fontId="19" fillId="0" borderId="6" xfId="5" applyFont="1" applyFill="1" applyBorder="1" applyProtection="1"/>
    <xf numFmtId="0" fontId="19" fillId="0" borderId="6" xfId="0" applyFont="1" applyBorder="1" applyAlignment="1" applyProtection="1">
      <alignment horizontal="left"/>
      <protection locked="0"/>
    </xf>
    <xf numFmtId="171" fontId="19" fillId="0" borderId="21" xfId="0" applyNumberFormat="1" applyFont="1" applyFill="1" applyBorder="1" applyProtection="1"/>
    <xf numFmtId="10" fontId="19" fillId="0" borderId="21" xfId="5" applyNumberFormat="1" applyFont="1" applyFill="1" applyBorder="1" applyProtection="1"/>
    <xf numFmtId="0" fontId="19" fillId="0" borderId="6" xfId="0" applyFont="1" applyBorder="1" applyProtection="1">
      <protection locked="0"/>
    </xf>
    <xf numFmtId="171" fontId="19" fillId="0" borderId="21" xfId="0" applyNumberFormat="1" applyFont="1" applyBorder="1" applyProtection="1"/>
    <xf numFmtId="0" fontId="19" fillId="0" borderId="21" xfId="0" applyFont="1" applyBorder="1" applyProtection="1">
      <protection locked="0"/>
    </xf>
    <xf numFmtId="9" fontId="19" fillId="0" borderId="21" xfId="5" applyFont="1" applyBorder="1" applyAlignment="1" applyProtection="1">
      <alignment horizontal="right"/>
    </xf>
    <xf numFmtId="0" fontId="19" fillId="0" borderId="6" xfId="0" applyFont="1" applyFill="1" applyBorder="1" applyProtection="1">
      <protection locked="0"/>
    </xf>
    <xf numFmtId="10" fontId="19" fillId="0" borderId="21" xfId="0" applyNumberFormat="1" applyFont="1" applyBorder="1" applyProtection="1"/>
    <xf numFmtId="0" fontId="19" fillId="0" borderId="22" xfId="0" applyFont="1" applyBorder="1" applyProtection="1">
      <protection locked="0"/>
    </xf>
    <xf numFmtId="0" fontId="20" fillId="0" borderId="0" xfId="0" applyFont="1" applyBorder="1" applyProtection="1">
      <protection locked="0"/>
    </xf>
    <xf numFmtId="10" fontId="19" fillId="0" borderId="0" xfId="0" applyNumberFormat="1" applyFont="1" applyBorder="1" applyProtection="1"/>
    <xf numFmtId="0" fontId="19" fillId="0" borderId="0" xfId="0" applyFont="1" applyBorder="1" applyProtection="1">
      <protection locked="0"/>
    </xf>
    <xf numFmtId="0" fontId="19" fillId="0" borderId="0" xfId="0" applyFont="1" applyBorder="1" applyProtection="1"/>
    <xf numFmtId="165" fontId="4" fillId="0" borderId="0" xfId="0" applyNumberFormat="1" applyFont="1" applyFill="1" applyAlignment="1">
      <alignment wrapText="1"/>
    </xf>
    <xf numFmtId="10" fontId="19" fillId="8" borderId="9" xfId="5" applyNumberFormat="1" applyFont="1" applyFill="1" applyBorder="1" applyAlignment="1" applyProtection="1">
      <alignment horizontal="right"/>
    </xf>
    <xf numFmtId="10" fontId="19" fillId="8" borderId="21" xfId="0" applyNumberFormat="1" applyFont="1" applyFill="1" applyBorder="1" applyAlignment="1" applyProtection="1">
      <alignment horizontal="right"/>
    </xf>
    <xf numFmtId="10" fontId="19" fillId="8" borderId="6" xfId="0" applyNumberFormat="1" applyFont="1" applyFill="1" applyBorder="1" applyAlignment="1" applyProtection="1">
      <alignment horizontal="right"/>
    </xf>
    <xf numFmtId="0" fontId="0" fillId="0" borderId="0" xfId="0" applyFill="1" applyAlignment="1">
      <alignment horizontal="right" wrapText="1"/>
    </xf>
    <xf numFmtId="9" fontId="19" fillId="0" borderId="8" xfId="5" applyFont="1" applyFill="1" applyBorder="1" applyAlignment="1" applyProtection="1">
      <alignment horizontal="right"/>
    </xf>
    <xf numFmtId="5" fontId="19" fillId="0" borderId="0" xfId="0" applyNumberFormat="1" applyFont="1" applyFill="1" applyBorder="1" applyAlignment="1" applyProtection="1">
      <alignment horizontal="right"/>
    </xf>
    <xf numFmtId="5" fontId="19" fillId="0" borderId="9" xfId="0" applyNumberFormat="1" applyFont="1" applyFill="1" applyBorder="1" applyAlignment="1" applyProtection="1">
      <alignment horizontal="right"/>
    </xf>
    <xf numFmtId="5" fontId="19" fillId="0" borderId="0" xfId="5" applyNumberFormat="1" applyFont="1" applyFill="1" applyBorder="1" applyProtection="1"/>
    <xf numFmtId="2" fontId="19" fillId="0" borderId="11" xfId="5" applyNumberFormat="1" applyFont="1" applyFill="1" applyBorder="1" applyAlignment="1" applyProtection="1">
      <alignment horizontal="right"/>
    </xf>
    <xf numFmtId="37" fontId="19" fillId="0" borderId="21" xfId="0" applyNumberFormat="1" applyFont="1" applyFill="1" applyBorder="1" applyAlignment="1" applyProtection="1">
      <alignment horizontal="right"/>
    </xf>
    <xf numFmtId="0" fontId="19" fillId="0" borderId="21" xfId="0" applyFont="1" applyFill="1" applyBorder="1" applyProtection="1"/>
    <xf numFmtId="9" fontId="19" fillId="0" borderId="21" xfId="0" applyNumberFormat="1" applyFont="1" applyFill="1" applyBorder="1" applyAlignment="1" applyProtection="1">
      <alignment horizontal="right"/>
    </xf>
    <xf numFmtId="0" fontId="19" fillId="0" borderId="21" xfId="0" applyNumberFormat="1" applyFont="1" applyFill="1" applyBorder="1" applyAlignment="1" applyProtection="1">
      <alignment horizontal="right"/>
    </xf>
    <xf numFmtId="10" fontId="19" fillId="0" borderId="21" xfId="0" applyNumberFormat="1" applyFont="1" applyFill="1" applyBorder="1" applyAlignment="1" applyProtection="1">
      <alignment horizontal="right"/>
    </xf>
    <xf numFmtId="10" fontId="19" fillId="0" borderId="21" xfId="0" applyNumberFormat="1" applyFont="1" applyFill="1" applyBorder="1" applyProtection="1"/>
    <xf numFmtId="10" fontId="19" fillId="0" borderId="22" xfId="0" applyNumberFormat="1" applyFont="1" applyFill="1" applyBorder="1" applyAlignment="1" applyProtection="1">
      <alignment horizontal="right"/>
    </xf>
    <xf numFmtId="10" fontId="19" fillId="5" borderId="9" xfId="5" applyNumberFormat="1" applyFont="1" applyFill="1" applyBorder="1" applyAlignment="1" applyProtection="1">
      <alignment horizontal="right"/>
    </xf>
    <xf numFmtId="5" fontId="19" fillId="5" borderId="9" xfId="0" applyNumberFormat="1" applyFont="1" applyFill="1" applyBorder="1" applyProtection="1"/>
    <xf numFmtId="37" fontId="19" fillId="5" borderId="9" xfId="0" applyNumberFormat="1" applyFont="1" applyFill="1" applyBorder="1" applyProtection="1"/>
    <xf numFmtId="5" fontId="19" fillId="5" borderId="0" xfId="5" applyNumberFormat="1" applyFont="1" applyFill="1" applyBorder="1" applyProtection="1"/>
    <xf numFmtId="5" fontId="19" fillId="5" borderId="9" xfId="5" applyNumberFormat="1" applyFont="1" applyFill="1" applyBorder="1" applyAlignment="1" applyProtection="1">
      <alignment horizontal="right"/>
    </xf>
    <xf numFmtId="5" fontId="19" fillId="5" borderId="9" xfId="5" applyNumberFormat="1" applyFont="1" applyFill="1" applyBorder="1" applyProtection="1"/>
    <xf numFmtId="37" fontId="19" fillId="5" borderId="9" xfId="5" applyNumberFormat="1" applyFont="1" applyFill="1" applyBorder="1" applyAlignment="1" applyProtection="1">
      <alignment horizontal="right"/>
    </xf>
    <xf numFmtId="0" fontId="0" fillId="0" borderId="7" xfId="0" applyBorder="1"/>
    <xf numFmtId="0" fontId="18" fillId="4" borderId="23" xfId="0" applyFont="1" applyFill="1" applyBorder="1" applyAlignment="1" applyProtection="1">
      <alignment shrinkToFit="1"/>
    </xf>
    <xf numFmtId="0" fontId="18" fillId="4" borderId="21" xfId="0" applyFont="1" applyFill="1" applyBorder="1" applyAlignment="1" applyProtection="1">
      <alignment horizontal="right" shrinkToFit="1"/>
    </xf>
    <xf numFmtId="37" fontId="19" fillId="5" borderId="17" xfId="5" applyNumberFormat="1" applyFont="1" applyFill="1" applyBorder="1" applyAlignment="1" applyProtection="1">
      <alignment horizontal="right"/>
    </xf>
    <xf numFmtId="10" fontId="19" fillId="0" borderId="3" xfId="0" applyNumberFormat="1" applyFont="1" applyFill="1" applyBorder="1" applyProtection="1"/>
    <xf numFmtId="171" fontId="19" fillId="0" borderId="21" xfId="0" applyNumberFormat="1" applyFont="1" applyFill="1" applyBorder="1" applyAlignment="1" applyProtection="1">
      <alignment horizontal="right"/>
    </xf>
    <xf numFmtId="9" fontId="19" fillId="0" borderId="21" xfId="5" applyFont="1" applyFill="1" applyBorder="1" applyProtection="1"/>
    <xf numFmtId="0" fontId="19" fillId="8" borderId="21" xfId="0" applyFont="1" applyFill="1" applyBorder="1" applyAlignment="1" applyProtection="1">
      <alignment horizontal="right"/>
      <protection locked="0"/>
    </xf>
    <xf numFmtId="43" fontId="7" fillId="0" borderId="0" xfId="4" applyNumberFormat="1" applyFont="1" applyFill="1" applyBorder="1"/>
    <xf numFmtId="0" fontId="21" fillId="0" borderId="0" xfId="4"/>
    <xf numFmtId="0" fontId="22" fillId="0" borderId="0" xfId="4" applyFont="1"/>
    <xf numFmtId="43" fontId="7" fillId="0" borderId="0" xfId="4" applyNumberFormat="1" applyFont="1" applyBorder="1"/>
    <xf numFmtId="0" fontId="7" fillId="0" borderId="18" xfId="4" applyFont="1" applyBorder="1"/>
    <xf numFmtId="14" fontId="21" fillId="0" borderId="18" xfId="4" applyNumberFormat="1" applyBorder="1" applyAlignment="1">
      <alignment horizontal="center"/>
    </xf>
    <xf numFmtId="0" fontId="21" fillId="0" borderId="18" xfId="4" applyBorder="1"/>
    <xf numFmtId="0" fontId="22" fillId="0" borderId="18" xfId="4" applyFont="1" applyBorder="1" applyAlignment="1">
      <alignment horizontal="center"/>
    </xf>
    <xf numFmtId="170" fontId="10" fillId="0" borderId="18" xfId="4" applyNumberFormat="1" applyFont="1" applyBorder="1" applyAlignment="1">
      <alignment horizontal="center"/>
    </xf>
    <xf numFmtId="14" fontId="7" fillId="0" borderId="18" xfId="4" applyNumberFormat="1" applyFont="1" applyBorder="1" applyAlignment="1">
      <alignment horizontal="center"/>
    </xf>
    <xf numFmtId="0" fontId="7" fillId="0" borderId="0" xfId="4" applyFont="1" applyBorder="1"/>
    <xf numFmtId="14" fontId="21" fillId="0" borderId="0" xfId="4" applyNumberFormat="1" applyBorder="1" applyAlignment="1">
      <alignment horizontal="center"/>
    </xf>
    <xf numFmtId="0" fontId="21" fillId="0" borderId="0" xfId="4" applyBorder="1"/>
    <xf numFmtId="0" fontId="22" fillId="0" borderId="0" xfId="4" applyFont="1" applyBorder="1" applyAlignment="1">
      <alignment horizontal="center"/>
    </xf>
    <xf numFmtId="170" fontId="10" fillId="0" borderId="0" xfId="4" applyNumberFormat="1" applyFont="1" applyBorder="1" applyAlignment="1">
      <alignment horizontal="center"/>
    </xf>
    <xf numFmtId="0" fontId="7" fillId="0" borderId="7" xfId="4" applyFont="1" applyBorder="1"/>
    <xf numFmtId="14" fontId="21" fillId="0" borderId="7" xfId="4" applyNumberFormat="1" applyBorder="1" applyAlignment="1">
      <alignment horizontal="center"/>
    </xf>
    <xf numFmtId="0" fontId="21" fillId="0" borderId="7" xfId="4" applyBorder="1"/>
    <xf numFmtId="170" fontId="10" fillId="0" borderId="7" xfId="4" applyNumberFormat="1" applyFont="1" applyBorder="1" applyAlignment="1">
      <alignment horizontal="center"/>
    </xf>
    <xf numFmtId="14" fontId="7" fillId="0" borderId="7" xfId="4" applyNumberFormat="1" applyFont="1" applyBorder="1" applyAlignment="1">
      <alignment horizontal="center"/>
    </xf>
    <xf numFmtId="0" fontId="10" fillId="0" borderId="0" xfId="4" applyFont="1"/>
    <xf numFmtId="0" fontId="7" fillId="0" borderId="0" xfId="4" applyFont="1"/>
    <xf numFmtId="0" fontId="10" fillId="0" borderId="0" xfId="4" applyFont="1" applyAlignment="1">
      <alignment horizontal="center"/>
    </xf>
    <xf numFmtId="168" fontId="22" fillId="0" borderId="0" xfId="4" applyNumberFormat="1" applyFont="1"/>
    <xf numFmtId="165" fontId="7" fillId="0" borderId="0" xfId="4" applyNumberFormat="1" applyFont="1"/>
    <xf numFmtId="0" fontId="10" fillId="0" borderId="0" xfId="4" applyFont="1" applyAlignment="1">
      <alignment horizontal="right"/>
    </xf>
    <xf numFmtId="165" fontId="10" fillId="0" borderId="0" xfId="4" applyNumberFormat="1" applyFont="1" applyAlignment="1">
      <alignment horizontal="right"/>
    </xf>
    <xf numFmtId="164" fontId="24" fillId="0" borderId="0" xfId="4" applyNumberFormat="1" applyFont="1" applyFill="1" applyBorder="1" applyAlignment="1" applyProtection="1"/>
    <xf numFmtId="0" fontId="10" fillId="0" borderId="0" xfId="4" quotePrefix="1" applyFont="1" applyAlignment="1">
      <alignment horizontal="right"/>
    </xf>
    <xf numFmtId="165" fontId="10" fillId="0" borderId="0" xfId="1" applyNumberFormat="1" applyFont="1" applyAlignment="1">
      <alignment horizontal="right"/>
    </xf>
    <xf numFmtId="168" fontId="10" fillId="0" borderId="0" xfId="5" applyNumberFormat="1" applyFont="1" applyAlignment="1">
      <alignment horizontal="right"/>
    </xf>
    <xf numFmtId="10" fontId="10" fillId="0" borderId="0" xfId="5" applyNumberFormat="1" applyFont="1" applyAlignment="1">
      <alignment horizontal="right"/>
    </xf>
    <xf numFmtId="0" fontId="7" fillId="0" borderId="0" xfId="4" applyFont="1" applyAlignment="1">
      <alignment horizontal="left"/>
    </xf>
    <xf numFmtId="168" fontId="22" fillId="0" borderId="18" xfId="4" applyNumberFormat="1" applyFont="1" applyBorder="1"/>
    <xf numFmtId="168" fontId="22" fillId="0" borderId="7" xfId="4" applyNumberFormat="1" applyFont="1" applyBorder="1"/>
    <xf numFmtId="0" fontId="10" fillId="0" borderId="0" xfId="4" applyFont="1" applyBorder="1"/>
    <xf numFmtId="168" fontId="22" fillId="0" borderId="0" xfId="4" applyNumberFormat="1" applyFont="1" applyBorder="1"/>
    <xf numFmtId="0" fontId="10" fillId="0" borderId="7" xfId="4" applyFont="1" applyBorder="1"/>
    <xf numFmtId="165" fontId="10" fillId="0" borderId="0" xfId="4" applyNumberFormat="1" applyFont="1" applyBorder="1"/>
    <xf numFmtId="168" fontId="10" fillId="0" borderId="0" xfId="5" applyNumberFormat="1" applyFont="1" applyBorder="1"/>
    <xf numFmtId="166" fontId="7" fillId="0" borderId="0" xfId="4" applyNumberFormat="1" applyFont="1" applyBorder="1" applyAlignment="1">
      <alignment horizontal="center"/>
    </xf>
    <xf numFmtId="166" fontId="10" fillId="0" borderId="0" xfId="4" applyNumberFormat="1" applyFont="1" applyBorder="1" applyAlignment="1">
      <alignment horizontal="center"/>
    </xf>
    <xf numFmtId="0" fontId="22" fillId="0" borderId="7" xfId="4" quotePrefix="1" applyFont="1" applyBorder="1" applyAlignment="1">
      <alignment horizontal="center"/>
    </xf>
    <xf numFmtId="0" fontId="7" fillId="0" borderId="0" xfId="4" applyFont="1" applyBorder="1" applyAlignment="1">
      <alignment wrapText="1"/>
    </xf>
    <xf numFmtId="0" fontId="7" fillId="0" borderId="0" xfId="4" applyFont="1" applyAlignment="1">
      <alignment wrapText="1"/>
    </xf>
    <xf numFmtId="0" fontId="10" fillId="0" borderId="0" xfId="4" applyFont="1" applyAlignment="1">
      <alignment wrapText="1"/>
    </xf>
    <xf numFmtId="0" fontId="21" fillId="0" borderId="0" xfId="4" applyAlignment="1">
      <alignment wrapText="1"/>
    </xf>
    <xf numFmtId="0" fontId="7" fillId="0" borderId="24" xfId="4" applyFont="1" applyBorder="1" applyAlignment="1">
      <alignment wrapText="1"/>
    </xf>
    <xf numFmtId="0" fontId="22" fillId="0" borderId="18" xfId="4" applyFont="1" applyBorder="1"/>
    <xf numFmtId="49" fontId="10" fillId="0" borderId="6" xfId="4" applyNumberFormat="1" applyFont="1" applyBorder="1" applyAlignment="1">
      <alignment wrapText="1"/>
    </xf>
    <xf numFmtId="38" fontId="21" fillId="0" borderId="0" xfId="4" applyNumberFormat="1" applyBorder="1"/>
    <xf numFmtId="0" fontId="10" fillId="0" borderId="6" xfId="4" applyFont="1" applyBorder="1" applyAlignment="1">
      <alignment wrapText="1"/>
    </xf>
    <xf numFmtId="164" fontId="25" fillId="0" borderId="6" xfId="4" applyNumberFormat="1" applyFont="1" applyFill="1" applyBorder="1" applyAlignment="1" applyProtection="1">
      <alignment wrapText="1"/>
    </xf>
    <xf numFmtId="0" fontId="7" fillId="0" borderId="6" xfId="4" applyFont="1" applyBorder="1" applyAlignment="1">
      <alignment wrapText="1"/>
    </xf>
    <xf numFmtId="0" fontId="22" fillId="0" borderId="0" xfId="4" applyFont="1" applyBorder="1"/>
    <xf numFmtId="0" fontId="21" fillId="0" borderId="6" xfId="4" applyFont="1" applyBorder="1" applyAlignment="1">
      <alignment wrapText="1"/>
    </xf>
    <xf numFmtId="0" fontId="10" fillId="0" borderId="10" xfId="4" applyFont="1" applyBorder="1" applyAlignment="1">
      <alignment wrapText="1"/>
    </xf>
    <xf numFmtId="0" fontId="10" fillId="0" borderId="18" xfId="4" applyFont="1" applyBorder="1"/>
    <xf numFmtId="0" fontId="21" fillId="0" borderId="10" xfId="4" applyFont="1" applyBorder="1" applyAlignment="1">
      <alignment wrapText="1"/>
    </xf>
    <xf numFmtId="0" fontId="22" fillId="0" borderId="7" xfId="4" applyFont="1" applyBorder="1"/>
    <xf numFmtId="0" fontId="2" fillId="0" borderId="0" xfId="0" applyFont="1" applyFill="1" applyBorder="1" applyAlignment="1"/>
    <xf numFmtId="0" fontId="7" fillId="0" borderId="10" xfId="4" applyFont="1" applyBorder="1" applyAlignment="1">
      <alignment wrapText="1"/>
    </xf>
    <xf numFmtId="165" fontId="21" fillId="0" borderId="0" xfId="1" applyNumberFormat="1" applyFont="1" applyBorder="1"/>
    <xf numFmtId="168" fontId="21" fillId="0" borderId="0" xfId="5" applyNumberFormat="1" applyFont="1" applyBorder="1"/>
    <xf numFmtId="0" fontId="21" fillId="0" borderId="0" xfId="4" applyBorder="1" applyAlignment="1">
      <alignment horizontal="right"/>
    </xf>
    <xf numFmtId="0" fontId="21" fillId="0" borderId="7" xfId="4" applyBorder="1" applyAlignment="1">
      <alignment horizontal="right"/>
    </xf>
    <xf numFmtId="0" fontId="10" fillId="8" borderId="10" xfId="4" applyFont="1" applyFill="1" applyBorder="1" applyAlignment="1">
      <alignment wrapText="1"/>
    </xf>
    <xf numFmtId="0" fontId="10" fillId="8" borderId="6" xfId="4" applyFont="1" applyFill="1" applyBorder="1" applyAlignment="1">
      <alignment wrapText="1"/>
    </xf>
    <xf numFmtId="168" fontId="21" fillId="0" borderId="7" xfId="5" applyNumberFormat="1" applyFont="1" applyBorder="1"/>
    <xf numFmtId="14" fontId="4" fillId="0" borderId="0" xfId="0" applyNumberFormat="1" applyFont="1" applyBorder="1" applyAlignment="1">
      <alignment horizontal="center"/>
    </xf>
    <xf numFmtId="0" fontId="2" fillId="0" borderId="1" xfId="0" applyFont="1" applyBorder="1" applyAlignment="1"/>
    <xf numFmtId="0" fontId="4" fillId="0" borderId="0" xfId="0" applyFont="1" applyBorder="1"/>
    <xf numFmtId="167" fontId="0" fillId="0" borderId="0" xfId="2" applyNumberFormat="1" applyFont="1" applyBorder="1" applyAlignment="1">
      <alignment horizontal="right"/>
    </xf>
    <xf numFmtId="165" fontId="0" fillId="0" borderId="0" xfId="1" applyNumberFormat="1" applyFont="1" applyBorder="1" applyAlignment="1">
      <alignment horizontal="right"/>
    </xf>
    <xf numFmtId="165" fontId="11" fillId="0" borderId="0" xfId="1" applyNumberFormat="1" applyFont="1" applyBorder="1" applyAlignment="1">
      <alignment horizontal="right"/>
    </xf>
    <xf numFmtId="165" fontId="8" fillId="0" borderId="0" xfId="1" applyNumberFormat="1" applyFont="1" applyBorder="1" applyAlignment="1">
      <alignment horizontal="right"/>
    </xf>
    <xf numFmtId="38" fontId="10" fillId="0" borderId="0" xfId="0" applyNumberFormat="1" applyFont="1" applyBorder="1" applyAlignment="1">
      <alignment horizontal="right"/>
    </xf>
    <xf numFmtId="38" fontId="4" fillId="0" borderId="0" xfId="0" applyNumberFormat="1" applyFont="1" applyBorder="1" applyAlignment="1">
      <alignment horizontal="right" wrapText="1"/>
    </xf>
    <xf numFmtId="165" fontId="4" fillId="0" borderId="0" xfId="0" applyNumberFormat="1" applyFont="1" applyBorder="1" applyAlignment="1">
      <alignment horizontal="right" wrapText="1"/>
    </xf>
    <xf numFmtId="14" fontId="0" fillId="0" borderId="0" xfId="0" applyNumberFormat="1" applyBorder="1" applyAlignment="1">
      <alignment horizontal="right"/>
    </xf>
    <xf numFmtId="167" fontId="8" fillId="0" borderId="0" xfId="2" applyNumberFormat="1" applyFont="1" applyBorder="1" applyAlignment="1">
      <alignment horizontal="right"/>
    </xf>
    <xf numFmtId="0" fontId="0" fillId="0" borderId="0" xfId="0" applyBorder="1" applyAlignment="1">
      <alignment horizontal="right"/>
    </xf>
    <xf numFmtId="14" fontId="2" fillId="0" borderId="0" xfId="0" applyNumberFormat="1" applyFont="1" applyAlignment="1">
      <alignment horizontal="right"/>
    </xf>
    <xf numFmtId="14" fontId="2" fillId="0" borderId="0" xfId="0" applyNumberFormat="1" applyFont="1" applyBorder="1" applyAlignment="1">
      <alignment horizontal="right"/>
    </xf>
    <xf numFmtId="0" fontId="2" fillId="0" borderId="0" xfId="0" applyFont="1" applyAlignment="1">
      <alignment horizontal="right" wrapText="1"/>
    </xf>
    <xf numFmtId="165" fontId="12" fillId="0" borderId="0" xfId="0" applyNumberFormat="1" applyFont="1" applyAlignment="1">
      <alignment horizontal="right" wrapText="1"/>
    </xf>
    <xf numFmtId="167" fontId="4" fillId="0" borderId="0" xfId="0" applyNumberFormat="1" applyFont="1" applyBorder="1" applyAlignment="1">
      <alignment horizontal="right" wrapText="1"/>
    </xf>
    <xf numFmtId="165" fontId="12" fillId="0" borderId="0" xfId="0" applyNumberFormat="1" applyFont="1" applyBorder="1" applyAlignment="1">
      <alignment horizontal="right" wrapText="1"/>
    </xf>
    <xf numFmtId="165" fontId="10" fillId="0" borderId="0" xfId="1" applyNumberFormat="1" applyFont="1" applyBorder="1" applyAlignment="1">
      <alignment horizontal="right"/>
    </xf>
    <xf numFmtId="43" fontId="4" fillId="0" borderId="0" xfId="1" applyFont="1" applyAlignment="1">
      <alignment horizontal="left"/>
    </xf>
    <xf numFmtId="43" fontId="2" fillId="0" borderId="0" xfId="1" applyFont="1" applyAlignment="1">
      <alignment horizontal="left"/>
    </xf>
    <xf numFmtId="165" fontId="11" fillId="0" borderId="0" xfId="1" applyNumberFormat="1" applyFont="1" applyBorder="1" applyAlignment="1"/>
    <xf numFmtId="38" fontId="8" fillId="0" borderId="0" xfId="0" applyNumberFormat="1" applyFont="1" applyBorder="1" applyAlignment="1"/>
    <xf numFmtId="38" fontId="21" fillId="0" borderId="0" xfId="4" applyNumberFormat="1" applyBorder="1" applyAlignment="1">
      <alignment horizontal="right"/>
    </xf>
    <xf numFmtId="165" fontId="21" fillId="0" borderId="7" xfId="1" applyNumberFormat="1" applyFont="1" applyBorder="1"/>
    <xf numFmtId="43" fontId="21" fillId="0" borderId="0" xfId="1" applyNumberFormat="1" applyFont="1" applyBorder="1"/>
    <xf numFmtId="38" fontId="10" fillId="0" borderId="0" xfId="4" applyNumberFormat="1" applyFont="1" applyFill="1" applyBorder="1"/>
    <xf numFmtId="0" fontId="23" fillId="0" borderId="0" xfId="4" applyFont="1" applyFill="1" applyBorder="1"/>
    <xf numFmtId="167" fontId="21" fillId="0" borderId="0" xfId="2" applyNumberFormat="1" applyFont="1" applyBorder="1"/>
    <xf numFmtId="167" fontId="7" fillId="0" borderId="0" xfId="2" applyNumberFormat="1" applyFont="1" applyBorder="1"/>
    <xf numFmtId="167" fontId="10" fillId="0" borderId="0" xfId="2" applyNumberFormat="1" applyFont="1" applyBorder="1"/>
    <xf numFmtId="167" fontId="7" fillId="0" borderId="0" xfId="2" applyNumberFormat="1" applyFont="1" applyFill="1" applyBorder="1" applyAlignment="1" applyProtection="1"/>
    <xf numFmtId="167" fontId="21" fillId="0" borderId="0" xfId="2" applyNumberFormat="1" applyFont="1" applyBorder="1" applyAlignment="1">
      <alignment horizontal="right"/>
    </xf>
    <xf numFmtId="165" fontId="21" fillId="0" borderId="7" xfId="4" applyNumberFormat="1" applyBorder="1"/>
    <xf numFmtId="0" fontId="7" fillId="0" borderId="0" xfId="4" applyFont="1" applyBorder="1" applyAlignment="1" applyProtection="1">
      <alignment horizontal="left"/>
    </xf>
    <xf numFmtId="0" fontId="10" fillId="0" borderId="6" xfId="4" applyFont="1" applyBorder="1" applyAlignment="1" applyProtection="1">
      <alignment horizontal="left"/>
    </xf>
    <xf numFmtId="43" fontId="7" fillId="0" borderId="0" xfId="4" applyNumberFormat="1" applyFont="1" applyFill="1" applyBorder="1" applyAlignment="1"/>
    <xf numFmtId="43" fontId="7" fillId="0" borderId="0" xfId="4" applyNumberFormat="1" applyFont="1" applyBorder="1" applyAlignment="1"/>
    <xf numFmtId="173" fontId="21" fillId="0" borderId="7" xfId="1" applyNumberFormat="1" applyFont="1" applyBorder="1"/>
    <xf numFmtId="0" fontId="21" fillId="0" borderId="7" xfId="4" applyFill="1" applyBorder="1"/>
    <xf numFmtId="43" fontId="15" fillId="0" borderId="0" xfId="0" applyNumberFormat="1" applyFont="1"/>
    <xf numFmtId="0" fontId="0" fillId="0" borderId="7" xfId="0" applyBorder="1" applyAlignment="1">
      <alignment wrapText="1"/>
    </xf>
    <xf numFmtId="14" fontId="2" fillId="0" borderId="7" xfId="0" applyNumberFormat="1" applyFont="1" applyBorder="1" applyAlignment="1">
      <alignment horizontal="center"/>
    </xf>
    <xf numFmtId="0" fontId="2" fillId="0" borderId="7" xfId="0" applyFont="1" applyBorder="1" applyAlignment="1">
      <alignment horizontal="center"/>
    </xf>
    <xf numFmtId="168" fontId="21" fillId="0" borderId="0" xfId="5" applyNumberFormat="1" applyFont="1" applyFill="1" applyBorder="1"/>
    <xf numFmtId="0" fontId="21" fillId="0" borderId="0" xfId="4" applyFill="1" applyBorder="1"/>
    <xf numFmtId="168" fontId="21" fillId="0" borderId="7" xfId="5" applyNumberFormat="1" applyFont="1" applyFill="1" applyBorder="1"/>
    <xf numFmtId="168" fontId="19" fillId="0" borderId="9" xfId="5" applyNumberFormat="1" applyFont="1" applyFill="1" applyBorder="1" applyAlignment="1" applyProtection="1">
      <alignment horizontal="right"/>
    </xf>
    <xf numFmtId="168" fontId="19" fillId="0" borderId="9" xfId="5" applyNumberFormat="1" applyFont="1" applyFill="1" applyBorder="1" applyProtection="1"/>
    <xf numFmtId="0" fontId="10" fillId="0" borderId="6" xfId="4" applyFont="1" applyFill="1" applyBorder="1" applyAlignment="1">
      <alignment wrapText="1"/>
    </xf>
    <xf numFmtId="0" fontId="21" fillId="0" borderId="0" xfId="4" applyFont="1" applyBorder="1" applyAlignment="1">
      <alignment horizontal="right"/>
    </xf>
    <xf numFmtId="38" fontId="21" fillId="0" borderId="0" xfId="4" applyNumberFormat="1" applyFont="1" applyBorder="1" applyAlignment="1">
      <alignment horizontal="right"/>
    </xf>
    <xf numFmtId="168" fontId="21" fillId="0" borderId="0" xfId="5" applyNumberFormat="1" applyFont="1" applyBorder="1" applyAlignment="1">
      <alignment horizontal="right"/>
    </xf>
    <xf numFmtId="0" fontId="10" fillId="0" borderId="0" xfId="4" applyFont="1" applyBorder="1" applyAlignment="1">
      <alignment horizontal="right"/>
    </xf>
    <xf numFmtId="0" fontId="10" fillId="0" borderId="10" xfId="4" applyFont="1" applyFill="1" applyBorder="1" applyAlignment="1"/>
    <xf numFmtId="0" fontId="21" fillId="0" borderId="6" xfId="4" applyFont="1" applyFill="1" applyBorder="1" applyAlignment="1">
      <alignment wrapText="1"/>
    </xf>
    <xf numFmtId="0" fontId="21" fillId="0" borderId="10" xfId="4" applyFont="1" applyFill="1" applyBorder="1" applyAlignment="1">
      <alignment wrapText="1"/>
    </xf>
    <xf numFmtId="38" fontId="21" fillId="0" borderId="7" xfId="4" applyNumberFormat="1" applyBorder="1"/>
    <xf numFmtId="0" fontId="21" fillId="0" borderId="7" xfId="4" applyFont="1" applyBorder="1" applyAlignment="1">
      <alignment horizontal="right"/>
    </xf>
    <xf numFmtId="0" fontId="4" fillId="0" borderId="0" xfId="0" applyFont="1" applyAlignment="1">
      <alignment horizontal="center" wrapText="1"/>
    </xf>
    <xf numFmtId="167" fontId="4" fillId="0" borderId="0" xfId="0" applyNumberFormat="1" applyFont="1" applyBorder="1" applyAlignment="1">
      <alignment horizontal="left" wrapText="1"/>
    </xf>
    <xf numFmtId="38" fontId="4" fillId="0" borderId="0" xfId="0" applyNumberFormat="1" applyFont="1" applyBorder="1" applyAlignment="1">
      <alignment wrapText="1"/>
    </xf>
    <xf numFmtId="165" fontId="1" fillId="0" borderId="0" xfId="1" applyNumberFormat="1" applyFont="1" applyBorder="1"/>
    <xf numFmtId="168" fontId="0" fillId="0" borderId="0" xfId="5" applyNumberFormat="1" applyFont="1" applyBorder="1"/>
    <xf numFmtId="9" fontId="4" fillId="0" borderId="0" xfId="3" applyNumberFormat="1" applyFont="1" applyFill="1"/>
    <xf numFmtId="0" fontId="22" fillId="8" borderId="0" xfId="4" applyFont="1" applyFill="1"/>
    <xf numFmtId="0" fontId="22" fillId="8" borderId="25" xfId="4" applyFont="1" applyFill="1" applyBorder="1" applyAlignment="1">
      <alignment horizontal="center"/>
    </xf>
    <xf numFmtId="0" fontId="22" fillId="8" borderId="26" xfId="4" applyFont="1" applyFill="1" applyBorder="1" applyAlignment="1">
      <alignment horizontal="center"/>
    </xf>
    <xf numFmtId="0" fontId="22" fillId="8" borderId="0" xfId="4" applyFont="1" applyFill="1" applyBorder="1" applyAlignment="1">
      <alignment horizontal="center"/>
    </xf>
    <xf numFmtId="0" fontId="22" fillId="8" borderId="25" xfId="4" applyFont="1" applyFill="1" applyBorder="1"/>
    <xf numFmtId="168" fontId="22" fillId="8" borderId="27" xfId="5" applyNumberFormat="1" applyFont="1" applyFill="1" applyBorder="1"/>
    <xf numFmtId="0" fontId="22" fillId="8" borderId="27" xfId="4" applyFont="1" applyFill="1" applyBorder="1"/>
    <xf numFmtId="168" fontId="22" fillId="8" borderId="26" xfId="5" applyNumberFormat="1" applyFont="1" applyFill="1" applyBorder="1"/>
    <xf numFmtId="168" fontId="22" fillId="8" borderId="0" xfId="5" applyNumberFormat="1" applyFont="1" applyFill="1"/>
    <xf numFmtId="168" fontId="22" fillId="8" borderId="25" xfId="5" applyNumberFormat="1" applyFont="1" applyFill="1" applyBorder="1"/>
    <xf numFmtId="168" fontId="22" fillId="8" borderId="27" xfId="4" applyNumberFormat="1" applyFont="1" applyFill="1" applyBorder="1"/>
    <xf numFmtId="0" fontId="22" fillId="8" borderId="26" xfId="4" applyFont="1" applyFill="1" applyBorder="1"/>
    <xf numFmtId="0" fontId="29" fillId="0" borderId="0" xfId="0" applyFont="1"/>
    <xf numFmtId="0" fontId="30" fillId="0" borderId="0" xfId="0" applyFont="1"/>
    <xf numFmtId="0" fontId="30" fillId="0" borderId="24" xfId="0" applyFont="1" applyBorder="1" applyAlignment="1">
      <alignment wrapText="1"/>
    </xf>
    <xf numFmtId="14" fontId="31" fillId="0" borderId="18" xfId="0" applyNumberFormat="1" applyFont="1" applyBorder="1" applyAlignment="1">
      <alignment horizontal="center"/>
    </xf>
    <xf numFmtId="0" fontId="30" fillId="0" borderId="0" xfId="0" applyFont="1" applyFill="1" applyBorder="1"/>
    <xf numFmtId="43" fontId="30" fillId="0" borderId="6" xfId="1" applyFont="1" applyBorder="1"/>
    <xf numFmtId="167" fontId="30" fillId="0" borderId="0" xfId="0" applyNumberFormat="1" applyFont="1" applyBorder="1" applyAlignment="1">
      <alignment horizontal="left" wrapText="1"/>
    </xf>
    <xf numFmtId="165" fontId="30" fillId="0" borderId="0" xfId="0" applyNumberFormat="1" applyFont="1" applyBorder="1" applyAlignment="1">
      <alignment wrapText="1"/>
    </xf>
    <xf numFmtId="164" fontId="32" fillId="0" borderId="10" xfId="0" applyNumberFormat="1" applyFont="1" applyFill="1" applyBorder="1" applyAlignment="1" applyProtection="1">
      <alignment horizontal="left"/>
    </xf>
    <xf numFmtId="165" fontId="30" fillId="0" borderId="7" xfId="0" applyNumberFormat="1" applyFont="1" applyBorder="1" applyAlignment="1">
      <alignment wrapText="1"/>
    </xf>
    <xf numFmtId="0" fontId="0" fillId="0" borderId="0" xfId="0" applyFill="1" applyAlignment="1">
      <alignment wrapText="1"/>
    </xf>
    <xf numFmtId="173" fontId="0" fillId="0" borderId="0" xfId="1" applyNumberFormat="1" applyFont="1" applyFill="1" applyAlignment="1">
      <alignment horizontal="right" wrapText="1"/>
    </xf>
    <xf numFmtId="168" fontId="30" fillId="0" borderId="0" xfId="5" applyNumberFormat="1" applyFont="1" applyBorder="1" applyAlignment="1">
      <alignment wrapText="1"/>
    </xf>
    <xf numFmtId="165" fontId="27" fillId="0" borderId="0" xfId="1" applyNumberFormat="1" applyFont="1" applyFill="1" applyBorder="1" applyAlignment="1">
      <alignment horizontal="right"/>
    </xf>
    <xf numFmtId="38" fontId="8" fillId="0" borderId="0" xfId="0" applyNumberFormat="1" applyFont="1" applyFill="1" applyBorder="1" applyAlignment="1">
      <alignment horizontal="right"/>
    </xf>
    <xf numFmtId="165" fontId="8" fillId="0" borderId="0" xfId="1" applyNumberFormat="1" applyFont="1" applyFill="1" applyBorder="1"/>
    <xf numFmtId="0" fontId="0" fillId="0" borderId="0" xfId="0" applyFill="1" applyBorder="1"/>
    <xf numFmtId="0" fontId="2" fillId="0" borderId="0" xfId="0" applyFont="1" applyFill="1" applyAlignment="1"/>
    <xf numFmtId="38" fontId="8" fillId="0" borderId="7" xfId="0" applyNumberFormat="1" applyFont="1" applyFill="1" applyBorder="1"/>
    <xf numFmtId="165" fontId="10" fillId="0" borderId="0" xfId="1" applyNumberFormat="1" applyFont="1" applyFill="1" applyBorder="1"/>
    <xf numFmtId="0" fontId="7" fillId="0" borderId="0" xfId="0" applyFont="1" applyFill="1"/>
    <xf numFmtId="0" fontId="14" fillId="0" borderId="0" xfId="0" applyFont="1" applyFill="1"/>
    <xf numFmtId="14" fontId="2" fillId="0" borderId="0" xfId="0" applyNumberFormat="1" applyFont="1" applyFill="1" applyBorder="1" applyAlignment="1">
      <alignment horizontal="center"/>
    </xf>
    <xf numFmtId="0" fontId="7" fillId="0" borderId="1" xfId="0" applyFont="1" applyFill="1" applyBorder="1"/>
    <xf numFmtId="14" fontId="0" fillId="0" borderId="1" xfId="0" applyNumberFormat="1" applyFill="1" applyBorder="1" applyAlignment="1">
      <alignment horizontal="center"/>
    </xf>
    <xf numFmtId="0" fontId="0" fillId="0" borderId="1" xfId="0" applyFill="1" applyBorder="1"/>
    <xf numFmtId="14" fontId="0" fillId="0" borderId="0" xfId="0" applyNumberFormat="1" applyFill="1" applyBorder="1" applyAlignment="1">
      <alignment horizontal="center"/>
    </xf>
    <xf numFmtId="0" fontId="7" fillId="0" borderId="0" xfId="0" applyFont="1" applyFill="1" applyBorder="1"/>
    <xf numFmtId="38" fontId="8" fillId="0" borderId="0" xfId="0" applyNumberFormat="1" applyFont="1" applyFill="1" applyBorder="1"/>
    <xf numFmtId="165" fontId="8" fillId="0" borderId="7" xfId="1" applyNumberFormat="1" applyFont="1" applyFill="1" applyBorder="1"/>
    <xf numFmtId="38" fontId="10" fillId="0" borderId="0" xfId="0" applyNumberFormat="1" applyFont="1" applyFill="1" applyBorder="1"/>
    <xf numFmtId="0" fontId="10" fillId="0" borderId="0" xfId="0" applyFont="1" applyFill="1"/>
    <xf numFmtId="0" fontId="0" fillId="0" borderId="0" xfId="0" applyFill="1" applyAlignment="1"/>
    <xf numFmtId="14" fontId="4" fillId="0" borderId="1" xfId="0" applyNumberFormat="1" applyFont="1" applyFill="1" applyBorder="1" applyAlignment="1">
      <alignment horizontal="center"/>
    </xf>
    <xf numFmtId="0" fontId="0" fillId="0" borderId="0" xfId="0" applyFill="1" applyAlignment="1">
      <alignment horizontal="left"/>
    </xf>
    <xf numFmtId="0" fontId="0" fillId="0" borderId="0" xfId="0" applyFill="1" applyAlignment="1">
      <alignment horizontal="left" wrapText="1"/>
    </xf>
    <xf numFmtId="0" fontId="0" fillId="0" borderId="0" xfId="0" applyFill="1" applyAlignment="1">
      <alignment horizontal="left" indent="1"/>
    </xf>
    <xf numFmtId="0" fontId="7" fillId="0" borderId="0" xfId="0" applyFont="1" applyFill="1" applyAlignment="1">
      <alignment horizontal="left"/>
    </xf>
    <xf numFmtId="38" fontId="8" fillId="0" borderId="7" xfId="1" applyNumberFormat="1" applyFont="1" applyFill="1" applyBorder="1"/>
    <xf numFmtId="165" fontId="21" fillId="0" borderId="0" xfId="1" applyNumberFormat="1" applyFont="1" applyFill="1" applyBorder="1"/>
    <xf numFmtId="38" fontId="21" fillId="0" borderId="0" xfId="0" applyNumberFormat="1" applyFont="1" applyFill="1" applyBorder="1"/>
    <xf numFmtId="165" fontId="9" fillId="0" borderId="0" xfId="1" applyNumberFormat="1" applyFont="1" applyFill="1" applyBorder="1"/>
    <xf numFmtId="43" fontId="7" fillId="0" borderId="0" xfId="1" applyFont="1" applyFill="1"/>
    <xf numFmtId="0" fontId="4" fillId="0" borderId="0" xfId="0" applyFont="1" applyFill="1" applyAlignment="1">
      <alignment wrapText="1"/>
    </xf>
    <xf numFmtId="165" fontId="28" fillId="0" borderId="0" xfId="1" applyNumberFormat="1" applyFont="1" applyFill="1" applyBorder="1"/>
    <xf numFmtId="0" fontId="4" fillId="0" borderId="0" xfId="0" applyFont="1" applyFill="1" applyAlignment="1"/>
    <xf numFmtId="0" fontId="0" fillId="0" borderId="0" xfId="0" quotePrefix="1" applyFill="1" applyAlignment="1"/>
    <xf numFmtId="165" fontId="10" fillId="0" borderId="0" xfId="1" applyNumberFormat="1" applyFont="1" applyFill="1" applyBorder="1" applyAlignment="1">
      <alignment horizontal="center"/>
    </xf>
    <xf numFmtId="38" fontId="8" fillId="0" borderId="7" xfId="0" applyNumberFormat="1" applyFont="1" applyFill="1" applyBorder="1" applyAlignment="1">
      <alignment horizontal="right"/>
    </xf>
    <xf numFmtId="38" fontId="34" fillId="0" borderId="0" xfId="0" applyNumberFormat="1" applyFont="1" applyFill="1" applyBorder="1" applyAlignment="1">
      <alignment horizontal="right"/>
    </xf>
    <xf numFmtId="38" fontId="33" fillId="0" borderId="0" xfId="0" applyNumberFormat="1" applyFont="1" applyFill="1" applyBorder="1"/>
    <xf numFmtId="165" fontId="4" fillId="0" borderId="0" xfId="0" applyNumberFormat="1" applyFont="1" applyFill="1" applyBorder="1" applyAlignment="1">
      <alignment wrapText="1"/>
    </xf>
    <xf numFmtId="0" fontId="4" fillId="0" borderId="0" xfId="0" applyFont="1" applyFill="1"/>
    <xf numFmtId="0" fontId="4" fillId="0" borderId="0" xfId="0" quotePrefix="1" applyFont="1" applyAlignment="1"/>
    <xf numFmtId="0" fontId="35" fillId="0" borderId="0" xfId="0" applyFont="1" applyAlignment="1">
      <alignment wrapText="1"/>
    </xf>
    <xf numFmtId="0" fontId="16" fillId="0" borderId="0" xfId="0" applyFont="1"/>
    <xf numFmtId="0" fontId="4" fillId="0" borderId="0" xfId="0" applyFont="1" applyBorder="1" applyAlignment="1">
      <alignment wrapText="1"/>
    </xf>
    <xf numFmtId="41" fontId="4" fillId="0" borderId="0" xfId="0" applyNumberFormat="1" applyFont="1" applyBorder="1" applyAlignment="1">
      <alignment wrapText="1"/>
    </xf>
    <xf numFmtId="168" fontId="4" fillId="0" borderId="0" xfId="5" applyNumberFormat="1" applyFont="1" applyBorder="1" applyAlignment="1">
      <alignment wrapText="1"/>
    </xf>
    <xf numFmtId="168" fontId="0" fillId="0" borderId="0" xfId="5" applyNumberFormat="1" applyFont="1" applyBorder="1" applyAlignment="1">
      <alignment wrapText="1"/>
    </xf>
    <xf numFmtId="0" fontId="4" fillId="0" borderId="0" xfId="0" applyFont="1" applyFill="1" applyBorder="1" applyAlignment="1">
      <alignment wrapText="1"/>
    </xf>
    <xf numFmtId="168" fontId="0" fillId="0" borderId="0" xfId="5" applyNumberFormat="1" applyFont="1" applyFill="1" applyBorder="1" applyAlignment="1">
      <alignment wrapText="1"/>
    </xf>
    <xf numFmtId="168" fontId="4" fillId="0" borderId="0" xfId="5" applyNumberFormat="1" applyFont="1" applyBorder="1" applyAlignment="1">
      <alignment horizontal="right" wrapText="1"/>
    </xf>
    <xf numFmtId="0" fontId="4" fillId="0" borderId="0" xfId="0" applyFont="1" applyBorder="1" applyAlignment="1">
      <alignment horizontal="right" wrapText="1"/>
    </xf>
    <xf numFmtId="165" fontId="4" fillId="0" borderId="0" xfId="0" applyNumberFormat="1" applyFont="1" applyFill="1" applyBorder="1" applyAlignment="1">
      <alignment horizontal="right" wrapText="1"/>
    </xf>
    <xf numFmtId="0" fontId="4" fillId="0" borderId="0" xfId="0" applyFont="1" applyFill="1" applyBorder="1" applyAlignment="1">
      <alignment horizontal="right" wrapText="1"/>
    </xf>
    <xf numFmtId="168" fontId="4" fillId="0" borderId="0" xfId="5" applyNumberFormat="1" applyFont="1" applyFill="1" applyBorder="1" applyAlignment="1">
      <alignment horizontal="right" wrapText="1"/>
    </xf>
    <xf numFmtId="0" fontId="4" fillId="0" borderId="0" xfId="0" applyFont="1" applyBorder="1" applyAlignment="1">
      <alignment horizontal="left" wrapText="1"/>
    </xf>
    <xf numFmtId="37" fontId="4" fillId="0" borderId="0" xfId="0" applyNumberFormat="1" applyFont="1" applyBorder="1" applyAlignment="1">
      <alignment wrapText="1"/>
    </xf>
    <xf numFmtId="0" fontId="0" fillId="0" borderId="0" xfId="0" applyBorder="1" applyAlignment="1">
      <alignment wrapText="1"/>
    </xf>
    <xf numFmtId="0" fontId="0" fillId="0" borderId="0" xfId="0" applyFill="1" applyBorder="1" applyAlignment="1">
      <alignment wrapText="1"/>
    </xf>
    <xf numFmtId="0" fontId="1" fillId="0" borderId="0" xfId="0" applyFont="1" applyFill="1" applyBorder="1" applyAlignment="1">
      <alignment wrapText="1"/>
    </xf>
    <xf numFmtId="37" fontId="0" fillId="9" borderId="0" xfId="0" applyNumberFormat="1" applyFill="1"/>
    <xf numFmtId="0" fontId="0" fillId="9" borderId="0" xfId="0" applyFill="1"/>
    <xf numFmtId="0" fontId="2" fillId="10" borderId="0" xfId="0" applyFont="1" applyFill="1" applyAlignment="1">
      <alignment horizontal="center"/>
    </xf>
    <xf numFmtId="0" fontId="2" fillId="10" borderId="0" xfId="0" applyFont="1" applyFill="1" applyBorder="1" applyAlignment="1">
      <alignment horizontal="center"/>
    </xf>
    <xf numFmtId="0" fontId="2" fillId="10" borderId="7" xfId="0" applyFont="1" applyFill="1" applyBorder="1" applyAlignment="1">
      <alignment horizontal="center"/>
    </xf>
    <xf numFmtId="0" fontId="0" fillId="10" borderId="0" xfId="0" applyFill="1"/>
    <xf numFmtId="168" fontId="0" fillId="10" borderId="0" xfId="5" applyNumberFormat="1" applyFont="1" applyFill="1" applyBorder="1"/>
    <xf numFmtId="168" fontId="4" fillId="10" borderId="0" xfId="5" applyNumberFormat="1" applyFont="1" applyFill="1" applyBorder="1" applyAlignment="1">
      <alignment wrapText="1"/>
    </xf>
    <xf numFmtId="168" fontId="0" fillId="10" borderId="0" xfId="5" applyNumberFormat="1" applyFont="1" applyFill="1" applyBorder="1" applyAlignment="1">
      <alignment wrapText="1"/>
    </xf>
    <xf numFmtId="168" fontId="4" fillId="10" borderId="0" xfId="5" applyNumberFormat="1" applyFont="1" applyFill="1" applyBorder="1" applyAlignment="1">
      <alignment horizontal="right" wrapText="1"/>
    </xf>
    <xf numFmtId="0" fontId="4" fillId="10" borderId="0" xfId="0" applyFont="1" applyFill="1" applyBorder="1" applyAlignment="1">
      <alignment horizontal="right" wrapText="1"/>
    </xf>
    <xf numFmtId="165" fontId="4" fillId="10" borderId="0" xfId="0" applyNumberFormat="1" applyFont="1" applyFill="1" applyBorder="1" applyAlignment="1">
      <alignment horizontal="right" wrapText="1"/>
    </xf>
    <xf numFmtId="0" fontId="0" fillId="10" borderId="0" xfId="0" applyFill="1" applyBorder="1"/>
    <xf numFmtId="165" fontId="0" fillId="10" borderId="0" xfId="0" applyNumberFormat="1" applyFill="1"/>
    <xf numFmtId="0" fontId="0" fillId="10" borderId="0" xfId="0" applyFill="1" applyAlignment="1">
      <alignment horizontal="right" wrapText="1"/>
    </xf>
    <xf numFmtId="38" fontId="13" fillId="10" borderId="0" xfId="0" applyNumberFormat="1" applyFont="1" applyFill="1" applyAlignment="1">
      <alignment wrapText="1"/>
    </xf>
    <xf numFmtId="165" fontId="0" fillId="0" borderId="0" xfId="0" applyNumberFormat="1" applyFill="1"/>
    <xf numFmtId="38" fontId="13" fillId="0" borderId="0" xfId="0" applyNumberFormat="1" applyFont="1" applyFill="1" applyAlignment="1">
      <alignment wrapText="1"/>
    </xf>
    <xf numFmtId="9" fontId="0" fillId="0" borderId="0" xfId="0" applyNumberFormat="1" applyBorder="1" applyAlignment="1">
      <alignment wrapText="1"/>
    </xf>
    <xf numFmtId="168" fontId="0" fillId="0" borderId="0" xfId="0" applyNumberFormat="1" applyFill="1" applyBorder="1" applyAlignment="1">
      <alignment wrapText="1"/>
    </xf>
    <xf numFmtId="9" fontId="0" fillId="0" borderId="0" xfId="0" applyNumberFormat="1" applyFill="1" applyBorder="1" applyAlignment="1">
      <alignment wrapText="1"/>
    </xf>
    <xf numFmtId="168" fontId="0" fillId="0" borderId="0" xfId="0" applyNumberFormat="1" applyBorder="1" applyAlignment="1">
      <alignment wrapText="1"/>
    </xf>
    <xf numFmtId="168" fontId="0" fillId="10" borderId="0" xfId="0" applyNumberFormat="1" applyFill="1" applyBorder="1" applyAlignment="1">
      <alignment wrapText="1"/>
    </xf>
    <xf numFmtId="9" fontId="0" fillId="10" borderId="0" xfId="0" applyNumberFormat="1" applyFill="1" applyBorder="1" applyAlignment="1">
      <alignment wrapText="1"/>
    </xf>
    <xf numFmtId="168" fontId="0" fillId="0" borderId="0" xfId="5" applyNumberFormat="1" applyFont="1" applyFill="1" applyBorder="1"/>
    <xf numFmtId="5" fontId="0" fillId="0" borderId="0" xfId="0" applyNumberFormat="1" applyBorder="1" applyAlignment="1">
      <alignment wrapText="1"/>
    </xf>
    <xf numFmtId="5" fontId="0" fillId="10" borderId="0" xfId="0" applyNumberFormat="1" applyFill="1" applyBorder="1"/>
    <xf numFmtId="37" fontId="4" fillId="0" borderId="0" xfId="0" applyNumberFormat="1" applyFont="1" applyFill="1" applyBorder="1" applyAlignment="1">
      <alignment wrapText="1"/>
    </xf>
    <xf numFmtId="37" fontId="0" fillId="0" borderId="0" xfId="0" applyNumberFormat="1" applyBorder="1" applyAlignment="1">
      <alignment wrapText="1"/>
    </xf>
    <xf numFmtId="165" fontId="0" fillId="0" borderId="0" xfId="1" applyNumberFormat="1" applyFont="1" applyFill="1" applyBorder="1" applyAlignment="1">
      <alignment horizontal="right" wrapText="1"/>
    </xf>
    <xf numFmtId="9" fontId="0" fillId="10" borderId="0" xfId="0" applyNumberFormat="1" applyFill="1" applyBorder="1" applyAlignment="1">
      <alignment horizontal="right" wrapText="1"/>
    </xf>
    <xf numFmtId="9" fontId="0" fillId="0" borderId="0" xfId="0" applyNumberFormat="1" applyFill="1" applyBorder="1" applyAlignment="1">
      <alignment horizontal="right" wrapText="1"/>
    </xf>
    <xf numFmtId="37" fontId="0" fillId="0" borderId="0" xfId="0" applyNumberFormat="1" applyFill="1" applyBorder="1" applyAlignment="1">
      <alignment wrapText="1"/>
    </xf>
    <xf numFmtId="9" fontId="0" fillId="0" borderId="0" xfId="0" applyNumberFormat="1" applyBorder="1"/>
    <xf numFmtId="9" fontId="4" fillId="0" borderId="0" xfId="0" applyNumberFormat="1" applyFont="1" applyBorder="1" applyAlignment="1">
      <alignment wrapText="1"/>
    </xf>
    <xf numFmtId="9" fontId="0" fillId="0" borderId="0" xfId="0" applyNumberFormat="1" applyFill="1" applyBorder="1"/>
    <xf numFmtId="9" fontId="0" fillId="9" borderId="0" xfId="0" applyNumberFormat="1" applyFill="1" applyBorder="1"/>
    <xf numFmtId="5" fontId="0" fillId="10" borderId="0" xfId="0" applyNumberFormat="1" applyFill="1" applyBorder="1" applyAlignment="1">
      <alignment wrapText="1"/>
    </xf>
    <xf numFmtId="37" fontId="0" fillId="0" borderId="0" xfId="0" applyNumberFormat="1" applyBorder="1"/>
    <xf numFmtId="37" fontId="0" fillId="0" borderId="0" xfId="5" applyNumberFormat="1" applyFont="1" applyFill="1" applyBorder="1" applyAlignment="1">
      <alignment horizontal="right" wrapText="1"/>
    </xf>
    <xf numFmtId="37" fontId="0" fillId="0" borderId="0" xfId="0" applyNumberFormat="1" applyBorder="1" applyAlignment="1">
      <alignment horizontal="right" wrapText="1"/>
    </xf>
    <xf numFmtId="37" fontId="0" fillId="0" borderId="0" xfId="5" applyNumberFormat="1" applyFont="1" applyBorder="1" applyAlignment="1">
      <alignment horizontal="right" wrapText="1"/>
    </xf>
    <xf numFmtId="37" fontId="0" fillId="10" borderId="0" xfId="5" applyNumberFormat="1" applyFont="1" applyFill="1" applyBorder="1" applyAlignment="1">
      <alignment horizontal="right" wrapText="1"/>
    </xf>
    <xf numFmtId="37" fontId="0" fillId="10" borderId="0" xfId="0" applyNumberFormat="1" applyFill="1" applyBorder="1" applyAlignment="1">
      <alignment wrapText="1"/>
    </xf>
    <xf numFmtId="168" fontId="0" fillId="0" borderId="0" xfId="0" applyNumberFormat="1" applyFill="1" applyBorder="1" applyAlignment="1">
      <alignment horizontal="right" wrapText="1"/>
    </xf>
    <xf numFmtId="168" fontId="0" fillId="10" borderId="0" xfId="0" applyNumberFormat="1" applyFill="1" applyBorder="1" applyAlignment="1">
      <alignment horizontal="right" wrapText="1"/>
    </xf>
    <xf numFmtId="37" fontId="0" fillId="9" borderId="0" xfId="0" applyNumberFormat="1" applyFill="1" applyBorder="1"/>
    <xf numFmtId="0" fontId="1" fillId="0" borderId="0" xfId="0" applyFont="1" applyBorder="1" applyAlignment="1">
      <alignment wrapText="1"/>
    </xf>
    <xf numFmtId="168" fontId="0" fillId="0" borderId="0" xfId="5" applyNumberFormat="1" applyFont="1" applyFill="1" applyBorder="1" applyAlignment="1">
      <alignment horizontal="right" wrapText="1"/>
    </xf>
    <xf numFmtId="173" fontId="0" fillId="0" borderId="0" xfId="1" applyNumberFormat="1" applyFont="1" applyFill="1" applyBorder="1" applyAlignment="1">
      <alignment horizontal="right" wrapText="1"/>
    </xf>
    <xf numFmtId="0" fontId="0" fillId="0" borderId="0" xfId="0" applyFill="1" applyBorder="1" applyAlignment="1">
      <alignment horizontal="right" wrapText="1"/>
    </xf>
    <xf numFmtId="0" fontId="0" fillId="10" borderId="0" xfId="0" applyFill="1" applyBorder="1" applyAlignment="1">
      <alignment horizontal="right" wrapText="1"/>
    </xf>
    <xf numFmtId="43" fontId="2" fillId="0" borderId="0" xfId="0" applyNumberFormat="1" applyFont="1"/>
    <xf numFmtId="0" fontId="2" fillId="9" borderId="0" xfId="0" applyFont="1" applyFill="1" applyBorder="1" applyAlignment="1">
      <alignment horizontal="right"/>
    </xf>
    <xf numFmtId="0" fontId="2" fillId="9" borderId="7" xfId="0" applyFont="1" applyFill="1" applyBorder="1" applyAlignment="1">
      <alignment horizontal="right"/>
    </xf>
    <xf numFmtId="0" fontId="0" fillId="9" borderId="0" xfId="0" applyFill="1" applyBorder="1"/>
    <xf numFmtId="165" fontId="0" fillId="9" borderId="0" xfId="0" applyNumberFormat="1" applyFill="1"/>
    <xf numFmtId="165" fontId="8" fillId="0" borderId="0" xfId="0" applyNumberFormat="1" applyFont="1" applyFill="1" applyBorder="1"/>
    <xf numFmtId="165" fontId="8" fillId="0" borderId="0" xfId="0" applyNumberFormat="1" applyFont="1" applyFill="1" applyBorder="1" applyAlignment="1">
      <alignment horizontal="right"/>
    </xf>
    <xf numFmtId="165" fontId="0" fillId="0" borderId="0" xfId="1" applyNumberFormat="1" applyFont="1" applyFill="1" applyAlignment="1">
      <alignment wrapText="1"/>
    </xf>
    <xf numFmtId="165" fontId="4" fillId="0" borderId="0" xfId="1" applyNumberFormat="1" applyFont="1" applyFill="1" applyAlignment="1">
      <alignment wrapText="1"/>
    </xf>
    <xf numFmtId="165" fontId="0" fillId="0" borderId="0" xfId="1" applyNumberFormat="1" applyFont="1" applyFill="1"/>
    <xf numFmtId="42" fontId="8" fillId="0" borderId="0" xfId="0" applyNumberFormat="1" applyFont="1" applyFill="1" applyBorder="1" applyAlignment="1">
      <alignment horizontal="right"/>
    </xf>
    <xf numFmtId="0" fontId="2" fillId="0" borderId="0" xfId="0" applyFont="1" applyBorder="1" applyAlignment="1">
      <alignment horizontal="left"/>
    </xf>
    <xf numFmtId="0" fontId="0" fillId="0" borderId="0" xfId="0" applyBorder="1" applyAlignment="1">
      <alignment vertical="top"/>
    </xf>
    <xf numFmtId="0" fontId="2" fillId="0" borderId="0" xfId="0" applyFont="1" applyBorder="1"/>
    <xf numFmtId="0" fontId="0" fillId="9" borderId="0" xfId="0" applyFill="1" applyAlignment="1">
      <alignment wrapText="1"/>
    </xf>
    <xf numFmtId="0" fontId="2" fillId="0" borderId="0" xfId="0" applyFont="1" applyBorder="1" applyAlignment="1">
      <alignment wrapText="1"/>
    </xf>
    <xf numFmtId="168" fontId="0" fillId="9" borderId="0" xfId="0" applyNumberFormat="1" applyFill="1" applyBorder="1"/>
    <xf numFmtId="9" fontId="2" fillId="0" borderId="0" xfId="0" applyNumberFormat="1" applyFont="1" applyFill="1" applyBorder="1" applyAlignment="1">
      <alignment wrapText="1"/>
    </xf>
    <xf numFmtId="168" fontId="0" fillId="10" borderId="0" xfId="5" applyNumberFormat="1" applyFont="1" applyFill="1" applyBorder="1" applyAlignment="1">
      <alignment horizontal="right" wrapText="1"/>
    </xf>
    <xf numFmtId="0" fontId="17" fillId="0" borderId="0" xfId="0" applyFont="1" applyBorder="1"/>
    <xf numFmtId="9" fontId="2" fillId="0" borderId="0" xfId="0" applyNumberFormat="1" applyFont="1" applyBorder="1" applyAlignment="1">
      <alignment wrapText="1"/>
    </xf>
    <xf numFmtId="9" fontId="4" fillId="0" borderId="0" xfId="0" applyNumberFormat="1" applyFont="1" applyFill="1" applyBorder="1" applyAlignment="1">
      <alignment wrapText="1"/>
    </xf>
    <xf numFmtId="0" fontId="0" fillId="0" borderId="0" xfId="0" applyNumberFormat="1" applyBorder="1" applyAlignment="1">
      <alignment wrapText="1"/>
    </xf>
    <xf numFmtId="167" fontId="0" fillId="0" borderId="0" xfId="2" applyNumberFormat="1" applyFont="1" applyFill="1" applyBorder="1"/>
    <xf numFmtId="0" fontId="31" fillId="0" borderId="1" xfId="0" applyFont="1" applyBorder="1"/>
    <xf numFmtId="0" fontId="30" fillId="0" borderId="1" xfId="0" applyFont="1" applyBorder="1" applyAlignment="1">
      <alignment wrapText="1"/>
    </xf>
    <xf numFmtId="14" fontId="31" fillId="0" borderId="1" xfId="0" applyNumberFormat="1" applyFont="1" applyBorder="1" applyAlignment="1">
      <alignment horizontal="center"/>
    </xf>
    <xf numFmtId="14" fontId="31" fillId="0" borderId="0" xfId="0" applyNumberFormat="1" applyFont="1" applyBorder="1" applyAlignment="1">
      <alignment horizontal="center"/>
    </xf>
    <xf numFmtId="43" fontId="30" fillId="0" borderId="0" xfId="1" applyFont="1"/>
    <xf numFmtId="165" fontId="30" fillId="0" borderId="0" xfId="1" applyNumberFormat="1" applyFont="1" applyBorder="1"/>
    <xf numFmtId="165" fontId="1" fillId="0" borderId="0" xfId="1" applyNumberFormat="1" applyBorder="1"/>
    <xf numFmtId="37" fontId="30" fillId="0" borderId="0" xfId="0" applyNumberFormat="1" applyFont="1"/>
    <xf numFmtId="37" fontId="30" fillId="0" borderId="0" xfId="0" applyNumberFormat="1" applyFont="1" applyAlignment="1">
      <alignment wrapText="1"/>
    </xf>
    <xf numFmtId="171" fontId="30" fillId="0" borderId="0" xfId="0" applyNumberFormat="1" applyFont="1" applyAlignment="1">
      <alignment horizontal="right"/>
    </xf>
    <xf numFmtId="9" fontId="30" fillId="0" borderId="0" xfId="0" applyNumberFormat="1" applyFont="1"/>
    <xf numFmtId="43" fontId="30" fillId="0" borderId="0" xfId="1" applyFont="1" applyAlignment="1">
      <alignment horizontal="left"/>
    </xf>
    <xf numFmtId="38" fontId="30" fillId="0" borderId="0" xfId="0" applyNumberFormat="1" applyFont="1"/>
    <xf numFmtId="3" fontId="0" fillId="0" borderId="0" xfId="0" applyNumberFormat="1"/>
    <xf numFmtId="38" fontId="4" fillId="0" borderId="0" xfId="0" applyNumberFormat="1" applyFont="1" applyFill="1" applyBorder="1" applyAlignment="1">
      <alignment wrapText="1"/>
    </xf>
    <xf numFmtId="9" fontId="2" fillId="10" borderId="1" xfId="3" applyNumberFormat="1" applyFont="1" applyFill="1" applyBorder="1" applyAlignment="1">
      <alignment horizontal="center"/>
    </xf>
    <xf numFmtId="14" fontId="0" fillId="10" borderId="0" xfId="0" applyNumberFormat="1" applyFill="1" applyBorder="1" applyAlignment="1">
      <alignment horizontal="center"/>
    </xf>
    <xf numFmtId="38" fontId="8" fillId="10" borderId="0" xfId="0" applyNumberFormat="1" applyFont="1" applyFill="1" applyBorder="1"/>
    <xf numFmtId="167" fontId="0" fillId="10" borderId="0" xfId="2" applyNumberFormat="1" applyFont="1" applyFill="1" applyBorder="1"/>
    <xf numFmtId="165" fontId="0" fillId="10" borderId="0" xfId="1" applyNumberFormat="1" applyFont="1" applyFill="1" applyBorder="1"/>
    <xf numFmtId="165" fontId="11" fillId="10" borderId="0" xfId="1" applyNumberFormat="1" applyFont="1" applyFill="1" applyBorder="1"/>
    <xf numFmtId="9" fontId="4" fillId="10" borderId="0" xfId="3" applyNumberFormat="1" applyFont="1" applyFill="1"/>
    <xf numFmtId="165" fontId="8" fillId="10" borderId="0" xfId="1" applyNumberFormat="1" applyFont="1" applyFill="1" applyBorder="1"/>
    <xf numFmtId="9" fontId="4" fillId="10" borderId="0" xfId="5" applyFont="1" applyFill="1" applyAlignment="1">
      <alignment wrapText="1"/>
    </xf>
    <xf numFmtId="38" fontId="10" fillId="10" borderId="0" xfId="0" applyNumberFormat="1" applyFont="1" applyFill="1" applyBorder="1"/>
    <xf numFmtId="167" fontId="4" fillId="10" borderId="0" xfId="0" applyNumberFormat="1" applyFont="1" applyFill="1" applyBorder="1" applyAlignment="1">
      <alignment horizontal="left" wrapText="1"/>
    </xf>
    <xf numFmtId="165" fontId="4" fillId="10" borderId="0" xfId="0" applyNumberFormat="1" applyFont="1" applyFill="1" applyBorder="1" applyAlignment="1">
      <alignment wrapText="1"/>
    </xf>
    <xf numFmtId="165" fontId="1" fillId="10" borderId="0" xfId="1" applyNumberFormat="1" applyFont="1" applyFill="1" applyBorder="1"/>
    <xf numFmtId="14" fontId="2" fillId="0" borderId="0" xfId="0" applyNumberFormat="1" applyFont="1" applyAlignment="1">
      <alignment horizontal="center" wrapText="1"/>
    </xf>
    <xf numFmtId="167" fontId="4" fillId="0" borderId="0" xfId="0" applyNumberFormat="1" applyFont="1" applyBorder="1" applyAlignment="1">
      <alignment wrapText="1"/>
    </xf>
    <xf numFmtId="167" fontId="4" fillId="0" borderId="0" xfId="0" applyNumberFormat="1" applyFont="1" applyFill="1" applyBorder="1" applyAlignment="1">
      <alignment wrapText="1"/>
    </xf>
    <xf numFmtId="167" fontId="0" fillId="0" borderId="28" xfId="2" applyNumberFormat="1" applyFont="1" applyFill="1" applyBorder="1"/>
    <xf numFmtId="167" fontId="0" fillId="0" borderId="28" xfId="2" applyNumberFormat="1" applyFont="1" applyBorder="1" applyAlignment="1">
      <alignment horizontal="right"/>
    </xf>
    <xf numFmtId="0" fontId="2" fillId="0" borderId="0" xfId="0" applyFont="1" applyAlignment="1">
      <alignment vertical="top"/>
    </xf>
    <xf numFmtId="0" fontId="31" fillId="0" borderId="0" xfId="0" applyFont="1"/>
    <xf numFmtId="0" fontId="30" fillId="0" borderId="29" xfId="0" applyFont="1" applyBorder="1"/>
    <xf numFmtId="6" fontId="30" fillId="0" borderId="29" xfId="0" applyNumberFormat="1" applyFont="1" applyBorder="1"/>
    <xf numFmtId="6" fontId="30" fillId="0" borderId="22" xfId="0" applyNumberFormat="1" applyFont="1" applyBorder="1" applyAlignment="1">
      <alignment wrapText="1"/>
    </xf>
    <xf numFmtId="0" fontId="30" fillId="0" borderId="22" xfId="0" applyFont="1" applyBorder="1"/>
    <xf numFmtId="6" fontId="31" fillId="10" borderId="30" xfId="0" quotePrefix="1" applyNumberFormat="1" applyFont="1" applyFill="1" applyBorder="1" applyAlignment="1">
      <alignment horizontal="center" vertical="center"/>
    </xf>
    <xf numFmtId="14" fontId="31" fillId="10" borderId="30" xfId="0" applyNumberFormat="1" applyFont="1" applyFill="1" applyBorder="1" applyAlignment="1">
      <alignment horizontal="center" vertical="center"/>
    </xf>
    <xf numFmtId="6" fontId="30" fillId="0" borderId="31" xfId="0" applyNumberFormat="1" applyFont="1" applyBorder="1"/>
    <xf numFmtId="0" fontId="30" fillId="0" borderId="22" xfId="0" applyFont="1" applyBorder="1" applyAlignment="1">
      <alignment vertical="center"/>
    </xf>
    <xf numFmtId="0" fontId="30" fillId="0" borderId="29" xfId="0" applyFont="1" applyBorder="1" applyAlignment="1">
      <alignment wrapText="1"/>
    </xf>
    <xf numFmtId="14" fontId="31" fillId="0" borderId="30" xfId="0" applyNumberFormat="1" applyFont="1" applyFill="1" applyBorder="1" applyAlignment="1">
      <alignment horizontal="center" vertical="center"/>
    </xf>
    <xf numFmtId="0" fontId="31" fillId="0" borderId="30" xfId="0" applyFont="1" applyFill="1" applyBorder="1" applyAlignment="1">
      <alignment horizontal="center" vertical="center"/>
    </xf>
    <xf numFmtId="6" fontId="30" fillId="0" borderId="0" xfId="0" applyNumberFormat="1" applyFont="1"/>
    <xf numFmtId="0" fontId="38" fillId="0" borderId="0" xfId="0" applyFont="1"/>
    <xf numFmtId="14" fontId="31" fillId="10" borderId="31" xfId="0" applyNumberFormat="1" applyFont="1" applyFill="1" applyBorder="1" applyAlignment="1">
      <alignment horizontal="center" vertical="center"/>
    </xf>
    <xf numFmtId="0" fontId="31" fillId="10" borderId="30" xfId="0" applyFont="1" applyFill="1" applyBorder="1" applyAlignment="1">
      <alignment horizontal="center" vertical="center" wrapText="1"/>
    </xf>
    <xf numFmtId="0" fontId="30" fillId="0" borderId="22" xfId="0" applyFont="1" applyBorder="1" applyAlignment="1">
      <alignment vertical="center" wrapText="1"/>
    </xf>
    <xf numFmtId="0" fontId="30" fillId="0" borderId="29" xfId="0" applyFont="1" applyBorder="1" applyAlignment="1">
      <alignment vertical="center"/>
    </xf>
    <xf numFmtId="167" fontId="30" fillId="0" borderId="22" xfId="2" applyNumberFormat="1" applyFont="1" applyFill="1" applyBorder="1"/>
    <xf numFmtId="0" fontId="30" fillId="0" borderId="29" xfId="0" applyFont="1" applyFill="1" applyBorder="1"/>
    <xf numFmtId="167" fontId="30" fillId="0" borderId="22" xfId="2" applyNumberFormat="1" applyFont="1" applyBorder="1" applyAlignment="1">
      <alignment vertical="center"/>
    </xf>
    <xf numFmtId="168" fontId="30" fillId="0" borderId="22" xfId="5" applyNumberFormat="1" applyFont="1" applyBorder="1" applyAlignment="1">
      <alignment horizontal="center" vertical="center"/>
    </xf>
    <xf numFmtId="0" fontId="30" fillId="0" borderId="22" xfId="0" applyFont="1" applyBorder="1" applyAlignment="1">
      <alignment horizontal="center" vertical="center"/>
    </xf>
    <xf numFmtId="0" fontId="30" fillId="0" borderId="32" xfId="0" applyFont="1" applyBorder="1" applyAlignment="1">
      <alignment vertical="center" wrapText="1"/>
    </xf>
    <xf numFmtId="0" fontId="30" fillId="0" borderId="32" xfId="0" applyFont="1" applyBorder="1" applyAlignment="1">
      <alignment horizontal="center" vertical="center"/>
    </xf>
    <xf numFmtId="0" fontId="30" fillId="0" borderId="32" xfId="0" applyFont="1" applyBorder="1" applyAlignment="1">
      <alignment vertical="center"/>
    </xf>
    <xf numFmtId="167" fontId="30" fillId="0" borderId="32" xfId="2" applyNumberFormat="1" applyFont="1" applyBorder="1" applyAlignment="1">
      <alignment vertical="center"/>
    </xf>
    <xf numFmtId="0" fontId="30" fillId="0" borderId="32" xfId="0" applyFont="1" applyBorder="1"/>
    <xf numFmtId="168" fontId="30" fillId="0" borderId="32" xfId="5" applyNumberFormat="1" applyFont="1" applyBorder="1" applyAlignment="1">
      <alignment horizontal="center" vertical="center"/>
    </xf>
    <xf numFmtId="0" fontId="31" fillId="0" borderId="22" xfId="0" applyFont="1" applyBorder="1" applyAlignment="1">
      <alignment vertical="center"/>
    </xf>
    <xf numFmtId="167" fontId="31" fillId="0" borderId="22" xfId="2" applyNumberFormat="1" applyFont="1" applyBorder="1" applyAlignment="1">
      <alignment vertical="center"/>
    </xf>
    <xf numFmtId="0" fontId="31" fillId="0" borderId="22" xfId="0" applyFont="1" applyBorder="1" applyAlignment="1">
      <alignment horizontal="center" vertical="center"/>
    </xf>
    <xf numFmtId="9" fontId="30" fillId="0" borderId="29" xfId="5" applyFont="1" applyBorder="1"/>
    <xf numFmtId="9" fontId="30" fillId="0" borderId="32" xfId="5" applyFont="1" applyBorder="1"/>
    <xf numFmtId="9" fontId="30" fillId="0" borderId="22" xfId="5" applyFont="1" applyBorder="1"/>
    <xf numFmtId="0" fontId="2" fillId="0" borderId="0" xfId="0" applyFont="1" applyFill="1"/>
    <xf numFmtId="0" fontId="41" fillId="0" borderId="0" xfId="0" applyFont="1" applyAlignment="1">
      <alignment horizontal="center" wrapText="1"/>
    </xf>
    <xf numFmtId="38" fontId="23" fillId="0" borderId="0" xfId="0" applyNumberFormat="1" applyFont="1" applyFill="1" applyBorder="1"/>
    <xf numFmtId="167" fontId="30" fillId="0" borderId="32" xfId="2" applyNumberFormat="1" applyFont="1" applyFill="1" applyBorder="1"/>
    <xf numFmtId="0" fontId="4" fillId="0" borderId="0" xfId="0" applyFont="1" applyBorder="1" applyAlignment="1">
      <alignment vertical="center" wrapText="1"/>
    </xf>
    <xf numFmtId="0" fontId="4" fillId="0" borderId="0" xfId="0" applyFont="1" applyFill="1" applyBorder="1" applyAlignment="1">
      <alignment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38" fontId="8" fillId="0" borderId="0" xfId="0" applyNumberFormat="1" applyFont="1" applyFill="1" applyBorder="1" applyAlignment="1"/>
    <xf numFmtId="0" fontId="42" fillId="0" borderId="0" xfId="0" applyFont="1" applyFill="1" applyBorder="1" applyAlignment="1">
      <alignment vertical="center" wrapText="1"/>
    </xf>
    <xf numFmtId="0" fontId="31" fillId="0" borderId="1" xfId="0" applyFont="1" applyBorder="1" applyAlignment="1">
      <alignment horizontal="center"/>
    </xf>
    <xf numFmtId="0" fontId="31" fillId="0" borderId="0" xfId="0" applyFont="1" applyBorder="1" applyAlignment="1">
      <alignment horizontal="center"/>
    </xf>
    <xf numFmtId="0" fontId="31" fillId="0" borderId="0" xfId="0" applyFont="1" applyFill="1" applyAlignment="1">
      <alignment horizontal="center" vertical="center" wrapText="1"/>
    </xf>
    <xf numFmtId="0" fontId="2" fillId="0" borderId="0" xfId="0" applyFont="1" applyFill="1" applyAlignment="1">
      <alignment horizontal="center" vertical="center" wrapText="1"/>
    </xf>
    <xf numFmtId="38" fontId="27" fillId="0" borderId="0" xfId="0" applyNumberFormat="1" applyFont="1" applyFill="1" applyBorder="1" applyAlignment="1">
      <alignment horizontal="right"/>
    </xf>
    <xf numFmtId="165" fontId="4" fillId="0" borderId="0" xfId="1" applyNumberFormat="1" applyFont="1" applyFill="1"/>
    <xf numFmtId="38" fontId="27" fillId="0" borderId="0" xfId="0" applyNumberFormat="1" applyFont="1" applyFill="1" applyBorder="1"/>
    <xf numFmtId="0" fontId="30" fillId="0" borderId="0" xfId="0" applyFont="1" applyBorder="1" applyAlignment="1">
      <alignment vertical="center"/>
    </xf>
    <xf numFmtId="0" fontId="30" fillId="0" borderId="32" xfId="0" applyFont="1" applyBorder="1" applyAlignment="1">
      <alignment wrapText="1"/>
    </xf>
    <xf numFmtId="0" fontId="30" fillId="0" borderId="31" xfId="0" applyFont="1" applyBorder="1" applyAlignment="1">
      <alignment wrapText="1"/>
    </xf>
    <xf numFmtId="0" fontId="31" fillId="0" borderId="34" xfId="0" applyFont="1" applyBorder="1" applyAlignment="1">
      <alignment wrapText="1"/>
    </xf>
    <xf numFmtId="38" fontId="10" fillId="0" borderId="0" xfId="0" applyNumberFormat="1" applyFont="1" applyFill="1" applyBorder="1" applyAlignment="1">
      <alignment horizontal="right"/>
    </xf>
    <xf numFmtId="38" fontId="28" fillId="0" borderId="0" xfId="0" applyNumberFormat="1" applyFont="1" applyFill="1" applyBorder="1" applyAlignment="1">
      <alignment horizontal="right"/>
    </xf>
    <xf numFmtId="0" fontId="30" fillId="0" borderId="22" xfId="0" applyFont="1" applyBorder="1" applyAlignment="1">
      <alignment wrapText="1"/>
    </xf>
    <xf numFmtId="38" fontId="7" fillId="0" borderId="0" xfId="0" applyNumberFormat="1" applyFont="1" applyFill="1" applyBorder="1" applyAlignment="1">
      <alignment horizontal="right" wrapText="1"/>
    </xf>
    <xf numFmtId="165" fontId="30" fillId="0" borderId="29" xfId="1" applyNumberFormat="1" applyFont="1" applyFill="1" applyBorder="1" applyAlignment="1">
      <alignment horizontal="left" indent="2"/>
    </xf>
    <xf numFmtId="165" fontId="30" fillId="0" borderId="29" xfId="1" applyNumberFormat="1" applyFont="1" applyFill="1" applyBorder="1"/>
    <xf numFmtId="0" fontId="30" fillId="0" borderId="29" xfId="0" applyNumberFormat="1" applyFont="1" applyBorder="1"/>
    <xf numFmtId="165" fontId="30" fillId="0" borderId="22" xfId="1" applyNumberFormat="1" applyFont="1" applyFill="1" applyBorder="1" applyAlignment="1">
      <alignment horizontal="left" indent="2"/>
    </xf>
    <xf numFmtId="165" fontId="30" fillId="0" borderId="22" xfId="1" applyNumberFormat="1" applyFont="1" applyFill="1" applyBorder="1"/>
    <xf numFmtId="0" fontId="30" fillId="0" borderId="22" xfId="0" applyNumberFormat="1" applyFont="1" applyBorder="1"/>
    <xf numFmtId="165" fontId="30" fillId="0" borderId="32" xfId="1" applyNumberFormat="1" applyFont="1" applyFill="1" applyBorder="1" applyAlignment="1">
      <alignment horizontal="left" indent="2"/>
    </xf>
    <xf numFmtId="165" fontId="30" fillId="0" borderId="32" xfId="1" applyNumberFormat="1" applyFont="1" applyFill="1" applyBorder="1"/>
    <xf numFmtId="0" fontId="30" fillId="0" borderId="32" xfId="0" applyNumberFormat="1" applyFont="1" applyBorder="1"/>
    <xf numFmtId="0" fontId="31" fillId="0" borderId="21" xfId="0" applyFont="1" applyBorder="1" applyAlignment="1">
      <alignment wrapText="1"/>
    </xf>
    <xf numFmtId="0" fontId="31" fillId="0" borderId="0" xfId="0" applyFont="1" applyBorder="1" applyAlignment="1">
      <alignment vertical="center"/>
    </xf>
    <xf numFmtId="168" fontId="31" fillId="0" borderId="0" xfId="0" applyNumberFormat="1" applyFont="1" applyBorder="1" applyAlignment="1">
      <alignment horizontal="centerContinuous" vertical="center"/>
    </xf>
    <xf numFmtId="167" fontId="30" fillId="0" borderId="32" xfId="2" applyNumberFormat="1" applyFont="1" applyBorder="1" applyAlignment="1">
      <alignment horizontal="center" vertical="center"/>
    </xf>
    <xf numFmtId="167" fontId="31" fillId="0" borderId="22" xfId="2" applyNumberFormat="1" applyFont="1" applyBorder="1" applyAlignment="1">
      <alignment horizontal="center" vertical="center"/>
    </xf>
    <xf numFmtId="9" fontId="30" fillId="0" borderId="22" xfId="5" applyFont="1" applyFill="1" applyBorder="1" applyAlignment="1">
      <alignment horizontal="center" vertical="center"/>
    </xf>
    <xf numFmtId="9" fontId="30" fillId="0" borderId="32" xfId="5" applyFont="1" applyFill="1" applyBorder="1" applyAlignment="1">
      <alignment horizontal="center" vertical="center"/>
    </xf>
    <xf numFmtId="9" fontId="31" fillId="0" borderId="22" xfId="0" applyNumberFormat="1" applyFont="1" applyFill="1" applyBorder="1" applyAlignment="1">
      <alignment horizontal="center" vertical="center"/>
    </xf>
    <xf numFmtId="167" fontId="30" fillId="0" borderId="22" xfId="2" applyNumberFormat="1" applyFont="1" applyBorder="1" applyAlignment="1">
      <alignment horizontal="center" vertical="center"/>
    </xf>
    <xf numFmtId="0" fontId="31" fillId="0" borderId="22" xfId="2" applyNumberFormat="1" applyFont="1" applyBorder="1" applyAlignment="1">
      <alignment vertical="center"/>
    </xf>
    <xf numFmtId="0" fontId="31" fillId="0" borderId="22" xfId="0" applyFont="1" applyBorder="1"/>
    <xf numFmtId="165" fontId="31" fillId="0" borderId="22" xfId="0" applyNumberFormat="1" applyFont="1" applyBorder="1"/>
    <xf numFmtId="165" fontId="31" fillId="0" borderId="22" xfId="1" applyNumberFormat="1" applyFont="1" applyBorder="1"/>
    <xf numFmtId="9" fontId="31" fillId="0" borderId="22" xfId="5" applyFont="1" applyBorder="1"/>
    <xf numFmtId="0" fontId="2" fillId="0" borderId="0" xfId="0" applyFont="1" applyFill="1" applyBorder="1" applyAlignment="1">
      <alignment wrapText="1"/>
    </xf>
    <xf numFmtId="166" fontId="31" fillId="10" borderId="30" xfId="0" applyNumberFormat="1" applyFont="1" applyFill="1" applyBorder="1" applyAlignment="1">
      <alignment horizontal="center" vertical="center"/>
    </xf>
    <xf numFmtId="0" fontId="30" fillId="0" borderId="22" xfId="0" applyFont="1" applyBorder="1" applyAlignment="1">
      <alignment horizontal="right"/>
    </xf>
    <xf numFmtId="0" fontId="30" fillId="0" borderId="22" xfId="0" applyFont="1" applyBorder="1" applyAlignment="1"/>
    <xf numFmtId="6" fontId="44" fillId="0" borderId="22" xfId="0" applyNumberFormat="1" applyFont="1" applyBorder="1" applyAlignment="1">
      <alignment horizontal="left" vertical="top"/>
    </xf>
    <xf numFmtId="0" fontId="44" fillId="0" borderId="22" xfId="0" applyFont="1" applyBorder="1" applyAlignment="1">
      <alignment horizontal="right" vertical="top"/>
    </xf>
    <xf numFmtId="168" fontId="44" fillId="0" borderId="22" xfId="5" applyNumberFormat="1" applyFont="1" applyFill="1" applyBorder="1" applyAlignment="1">
      <alignment horizontal="right" vertical="top"/>
    </xf>
    <xf numFmtId="6" fontId="44" fillId="0" borderId="22" xfId="0" applyNumberFormat="1" applyFont="1" applyBorder="1" applyAlignment="1">
      <alignment vertical="top"/>
    </xf>
    <xf numFmtId="0" fontId="30" fillId="0" borderId="29" xfId="0" applyFont="1" applyBorder="1" applyAlignment="1"/>
    <xf numFmtId="0" fontId="30" fillId="0" borderId="29" xfId="0" applyFont="1" applyBorder="1" applyAlignment="1">
      <alignment horizontal="right"/>
    </xf>
    <xf numFmtId="0" fontId="31" fillId="10" borderId="35" xfId="0" applyFont="1" applyFill="1" applyBorder="1" applyAlignment="1">
      <alignment vertical="center" wrapText="1"/>
    </xf>
    <xf numFmtId="42" fontId="30" fillId="0" borderId="22" xfId="0" applyNumberFormat="1" applyFont="1" applyBorder="1" applyAlignment="1">
      <alignment horizontal="right" wrapText="1"/>
    </xf>
    <xf numFmtId="42" fontId="30" fillId="0" borderId="29" xfId="0" applyNumberFormat="1" applyFont="1" applyBorder="1" applyAlignment="1">
      <alignment horizontal="right" wrapText="1"/>
    </xf>
    <xf numFmtId="42" fontId="30" fillId="0" borderId="31" xfId="0" applyNumberFormat="1" applyFont="1" applyBorder="1" applyAlignment="1">
      <alignment horizontal="right" wrapText="1"/>
    </xf>
    <xf numFmtId="42" fontId="31" fillId="0" borderId="34" xfId="0" applyNumberFormat="1" applyFont="1" applyBorder="1" applyAlignment="1">
      <alignment horizontal="right" wrapText="1"/>
    </xf>
    <xf numFmtId="6" fontId="30" fillId="0" borderId="31" xfId="0" applyNumberFormat="1" applyFont="1" applyBorder="1" applyAlignment="1">
      <alignment horizontal="right" wrapText="1"/>
    </xf>
    <xf numFmtId="6" fontId="30" fillId="0" borderId="32" xfId="0" applyNumberFormat="1" applyFont="1" applyBorder="1" applyAlignment="1">
      <alignment horizontal="right" wrapText="1"/>
    </xf>
    <xf numFmtId="6" fontId="31" fillId="0" borderId="34" xfId="0" applyNumberFormat="1" applyFont="1" applyBorder="1" applyAlignment="1">
      <alignment horizontal="right" wrapText="1"/>
    </xf>
    <xf numFmtId="0" fontId="44" fillId="0" borderId="36" xfId="0" applyFont="1" applyBorder="1" applyAlignment="1">
      <alignment vertical="top" wrapText="1"/>
    </xf>
    <xf numFmtId="0" fontId="45" fillId="0" borderId="22" xfId="0" applyFont="1" applyBorder="1" applyAlignment="1">
      <alignment vertical="top" wrapText="1"/>
    </xf>
    <xf numFmtId="0" fontId="44" fillId="0" borderId="22" xfId="0" applyFont="1" applyBorder="1" applyAlignment="1">
      <alignment vertical="top" wrapText="1"/>
    </xf>
    <xf numFmtId="168" fontId="44" fillId="0" borderId="36" xfId="5" applyNumberFormat="1" applyFont="1" applyBorder="1" applyAlignment="1">
      <alignment horizontal="right" vertical="top" wrapText="1"/>
    </xf>
    <xf numFmtId="168" fontId="45" fillId="0" borderId="22" xfId="5" applyNumberFormat="1" applyFont="1" applyBorder="1" applyAlignment="1">
      <alignment horizontal="right" vertical="top" wrapText="1"/>
    </xf>
    <xf numFmtId="168" fontId="44" fillId="0" borderId="22" xfId="5" applyNumberFormat="1" applyFont="1" applyBorder="1" applyAlignment="1">
      <alignment horizontal="right" vertical="top" wrapText="1"/>
    </xf>
    <xf numFmtId="0" fontId="30" fillId="0" borderId="37" xfId="0" applyFont="1" applyBorder="1" applyAlignment="1">
      <alignment wrapText="1"/>
    </xf>
    <xf numFmtId="169" fontId="30" fillId="0" borderId="22" xfId="2" applyNumberFormat="1" applyFont="1" applyBorder="1" applyAlignment="1">
      <alignment horizontal="right"/>
    </xf>
    <xf numFmtId="173" fontId="30" fillId="0" borderId="29" xfId="1" applyNumberFormat="1" applyFont="1" applyBorder="1" applyAlignment="1">
      <alignment horizontal="right"/>
    </xf>
    <xf numFmtId="173" fontId="30" fillId="0" borderId="32" xfId="1" applyNumberFormat="1" applyFont="1" applyBorder="1" applyAlignment="1">
      <alignment horizontal="right"/>
    </xf>
    <xf numFmtId="0" fontId="30" fillId="0" borderId="32" xfId="0" applyFont="1" applyBorder="1" applyAlignment="1">
      <alignment horizontal="right"/>
    </xf>
    <xf numFmtId="169" fontId="30" fillId="0" borderId="22" xfId="0" applyNumberFormat="1" applyFont="1" applyBorder="1" applyAlignment="1">
      <alignment horizontal="right"/>
    </xf>
    <xf numFmtId="169" fontId="30" fillId="0" borderId="37" xfId="2" applyNumberFormat="1" applyFont="1" applyBorder="1" applyAlignment="1">
      <alignment horizontal="right"/>
    </xf>
    <xf numFmtId="0" fontId="30" fillId="0" borderId="37" xfId="0" applyFont="1" applyBorder="1" applyAlignment="1">
      <alignment horizontal="right"/>
    </xf>
    <xf numFmtId="169" fontId="30" fillId="0" borderId="21" xfId="2" applyNumberFormat="1" applyFont="1" applyBorder="1" applyAlignment="1">
      <alignment horizontal="right"/>
    </xf>
    <xf numFmtId="0" fontId="30" fillId="0" borderId="21" xfId="0" applyFont="1" applyBorder="1" applyAlignment="1">
      <alignment horizontal="right"/>
    </xf>
    <xf numFmtId="9" fontId="30" fillId="0" borderId="22" xfId="5" applyFont="1" applyBorder="1" applyAlignment="1">
      <alignment horizontal="right"/>
    </xf>
    <xf numFmtId="169" fontId="30" fillId="0" borderId="29" xfId="2" applyNumberFormat="1" applyFont="1" applyBorder="1" applyAlignment="1">
      <alignment horizontal="right"/>
    </xf>
    <xf numFmtId="9" fontId="30" fillId="0" borderId="29" xfId="5" applyFont="1" applyBorder="1" applyAlignment="1">
      <alignment horizontal="right"/>
    </xf>
    <xf numFmtId="173" fontId="30" fillId="0" borderId="22" xfId="1" applyNumberFormat="1" applyFont="1" applyBorder="1" applyAlignment="1">
      <alignment horizontal="right"/>
    </xf>
    <xf numFmtId="165" fontId="30" fillId="0" borderId="29" xfId="1" applyNumberFormat="1" applyFont="1" applyBorder="1" applyAlignment="1">
      <alignment horizontal="right"/>
    </xf>
    <xf numFmtId="168" fontId="30" fillId="0" borderId="22" xfId="5" applyNumberFormat="1" applyFont="1" applyBorder="1" applyAlignment="1">
      <alignment horizontal="right"/>
    </xf>
    <xf numFmtId="168" fontId="30" fillId="0" borderId="22" xfId="0" applyNumberFormat="1" applyFont="1" applyBorder="1" applyAlignment="1">
      <alignment horizontal="right"/>
    </xf>
    <xf numFmtId="168" fontId="30" fillId="0" borderId="29" xfId="5" applyNumberFormat="1" applyFont="1" applyBorder="1" applyAlignment="1">
      <alignment horizontal="right"/>
    </xf>
    <xf numFmtId="168" fontId="30" fillId="0" borderId="29" xfId="0" applyNumberFormat="1" applyFont="1" applyBorder="1" applyAlignment="1">
      <alignment horizontal="right"/>
    </xf>
    <xf numFmtId="168" fontId="30" fillId="0" borderId="32" xfId="5" applyNumberFormat="1" applyFont="1" applyBorder="1" applyAlignment="1">
      <alignment horizontal="right"/>
    </xf>
    <xf numFmtId="168" fontId="30" fillId="0" borderId="32" xfId="0" applyNumberFormat="1" applyFont="1" applyBorder="1" applyAlignment="1">
      <alignment horizontal="right"/>
    </xf>
    <xf numFmtId="168" fontId="31" fillId="0" borderId="22" xfId="0" applyNumberFormat="1" applyFont="1" applyBorder="1" applyAlignment="1">
      <alignment horizontal="right"/>
    </xf>
    <xf numFmtId="0" fontId="30" fillId="0" borderId="22" xfId="0" applyFont="1" applyBorder="1" applyAlignment="1">
      <alignment horizontal="left"/>
    </xf>
    <xf numFmtId="0" fontId="31" fillId="0" borderId="22" xfId="0" applyFont="1" applyBorder="1" applyAlignment="1">
      <alignment horizontal="left"/>
    </xf>
    <xf numFmtId="0" fontId="30" fillId="0" borderId="32" xfId="0" applyFont="1" applyBorder="1" applyAlignment="1">
      <alignment horizontal="left"/>
    </xf>
    <xf numFmtId="166" fontId="31" fillId="0" borderId="30" xfId="0" applyNumberFormat="1" applyFont="1" applyFill="1" applyBorder="1" applyAlignment="1">
      <alignment horizontal="center" vertical="center"/>
    </xf>
    <xf numFmtId="167" fontId="30" fillId="0" borderId="31" xfId="2" applyNumberFormat="1" applyFont="1" applyBorder="1" applyAlignment="1">
      <alignment horizontal="right"/>
    </xf>
    <xf numFmtId="0" fontId="30" fillId="0" borderId="31" xfId="0" applyFont="1" applyBorder="1" applyAlignment="1">
      <alignment horizontal="right"/>
    </xf>
    <xf numFmtId="168" fontId="0" fillId="0" borderId="0" xfId="0" applyNumberFormat="1" applyBorder="1" applyAlignment="1">
      <alignment horizontal="right" wrapText="1"/>
    </xf>
    <xf numFmtId="168" fontId="0" fillId="0" borderId="0" xfId="0" applyNumberFormat="1" applyBorder="1" applyAlignment="1">
      <alignment horizontal="right"/>
    </xf>
    <xf numFmtId="168" fontId="0" fillId="10" borderId="0" xfId="0" applyNumberFormat="1" applyFill="1" applyBorder="1" applyAlignment="1">
      <alignment horizontal="right"/>
    </xf>
    <xf numFmtId="168" fontId="0" fillId="0" borderId="0" xfId="0" applyNumberFormat="1" applyFill="1" applyBorder="1" applyAlignment="1">
      <alignment horizontal="right"/>
    </xf>
    <xf numFmtId="9" fontId="0" fillId="0" borderId="0" xfId="0" applyNumberFormat="1" applyFill="1" applyBorder="1" applyAlignment="1">
      <alignment horizontal="right"/>
    </xf>
    <xf numFmtId="168" fontId="0" fillId="0" borderId="0" xfId="5" applyNumberFormat="1" applyFont="1" applyBorder="1" applyAlignment="1">
      <alignment horizontal="right" wrapText="1"/>
    </xf>
    <xf numFmtId="0" fontId="0" fillId="10" borderId="0" xfId="0" applyFill="1" applyBorder="1" applyAlignment="1">
      <alignment horizontal="right"/>
    </xf>
    <xf numFmtId="0" fontId="0" fillId="0" borderId="0" xfId="0" applyFill="1" applyBorder="1" applyAlignment="1">
      <alignment horizontal="right"/>
    </xf>
    <xf numFmtId="9" fontId="0" fillId="0" borderId="0" xfId="0" applyNumberFormat="1" applyBorder="1" applyAlignment="1">
      <alignment horizontal="right"/>
    </xf>
    <xf numFmtId="0" fontId="0" fillId="0" borderId="0" xfId="0" applyBorder="1" applyAlignment="1">
      <alignment horizontal="right" wrapText="1"/>
    </xf>
    <xf numFmtId="168" fontId="0" fillId="0" borderId="0" xfId="5" applyNumberFormat="1" applyFont="1" applyBorder="1" applyAlignment="1">
      <alignment horizontal="right"/>
    </xf>
    <xf numFmtId="168" fontId="0" fillId="10" borderId="0" xfId="5" applyNumberFormat="1" applyFont="1" applyFill="1" applyBorder="1" applyAlignment="1">
      <alignment horizontal="right"/>
    </xf>
    <xf numFmtId="168" fontId="0" fillId="0" borderId="0" xfId="5" applyNumberFormat="1" applyFont="1" applyFill="1" applyBorder="1" applyAlignment="1">
      <alignment horizontal="right"/>
    </xf>
    <xf numFmtId="168" fontId="1" fillId="0" borderId="0" xfId="0" applyNumberFormat="1" applyFont="1" applyBorder="1" applyAlignment="1">
      <alignment horizontal="right" wrapText="1"/>
    </xf>
    <xf numFmtId="172" fontId="4" fillId="0" borderId="0" xfId="5" applyNumberFormat="1" applyFont="1" applyBorder="1" applyAlignment="1">
      <alignment horizontal="right" wrapText="1"/>
    </xf>
    <xf numFmtId="9" fontId="4" fillId="0" borderId="0" xfId="5" applyFont="1" applyFill="1" applyBorder="1" applyAlignment="1">
      <alignment horizontal="right" wrapText="1"/>
    </xf>
    <xf numFmtId="9" fontId="4" fillId="0" borderId="0" xfId="5" applyFont="1" applyBorder="1" applyAlignment="1">
      <alignment horizontal="right" wrapText="1"/>
    </xf>
    <xf numFmtId="165" fontId="4" fillId="10" borderId="0" xfId="1" applyNumberFormat="1" applyFont="1" applyFill="1" applyBorder="1" applyAlignment="1">
      <alignment horizontal="right" wrapText="1"/>
    </xf>
    <xf numFmtId="9" fontId="46" fillId="0" borderId="0" xfId="0" applyNumberFormat="1" applyFont="1" applyFill="1" applyBorder="1" applyAlignment="1">
      <alignment horizontal="right" wrapText="1"/>
    </xf>
    <xf numFmtId="9" fontId="46" fillId="10" borderId="0" xfId="0" applyNumberFormat="1" applyFont="1" applyFill="1" applyBorder="1" applyAlignment="1">
      <alignment horizontal="right" wrapText="1"/>
    </xf>
    <xf numFmtId="168" fontId="46" fillId="0" borderId="0" xfId="0" applyNumberFormat="1" applyFont="1" applyFill="1" applyBorder="1" applyAlignment="1">
      <alignment horizontal="right" wrapText="1"/>
    </xf>
    <xf numFmtId="168" fontId="46" fillId="10" borderId="0" xfId="0" applyNumberFormat="1" applyFont="1" applyFill="1" applyBorder="1" applyAlignment="1">
      <alignment horizontal="right" wrapText="1"/>
    </xf>
    <xf numFmtId="43" fontId="15" fillId="0" borderId="7" xfId="0" applyNumberFormat="1" applyFont="1" applyBorder="1"/>
    <xf numFmtId="0" fontId="30" fillId="0" borderId="0" xfId="0" applyFont="1" applyAlignment="1">
      <alignment horizontal="left" indent="1"/>
    </xf>
    <xf numFmtId="0" fontId="31" fillId="11" borderId="0" xfId="0" applyFont="1" applyFill="1"/>
    <xf numFmtId="14" fontId="31" fillId="11" borderId="30" xfId="0" applyNumberFormat="1" applyFont="1" applyFill="1" applyBorder="1" applyAlignment="1">
      <alignment horizontal="center" vertical="center"/>
    </xf>
    <xf numFmtId="0" fontId="31" fillId="11" borderId="30" xfId="0" applyFont="1" applyFill="1" applyBorder="1" applyAlignment="1">
      <alignment horizontal="center" vertical="center"/>
    </xf>
    <xf numFmtId="9" fontId="4" fillId="11" borderId="0" xfId="5" applyFont="1" applyFill="1"/>
    <xf numFmtId="0" fontId="31" fillId="11" borderId="30" xfId="0" applyFont="1" applyFill="1" applyBorder="1" applyAlignment="1">
      <alignment horizontal="center" wrapText="1"/>
    </xf>
    <xf numFmtId="0" fontId="31" fillId="11" borderId="30" xfId="0" applyFont="1" applyFill="1" applyBorder="1" applyAlignment="1">
      <alignment wrapText="1"/>
    </xf>
    <xf numFmtId="0" fontId="30" fillId="11" borderId="22" xfId="0" applyFont="1" applyFill="1" applyBorder="1" applyAlignment="1">
      <alignment horizontal="center" vertical="top" wrapText="1"/>
    </xf>
    <xf numFmtId="9" fontId="30" fillId="11" borderId="22" xfId="0" applyNumberFormat="1" applyFont="1" applyFill="1" applyBorder="1" applyAlignment="1">
      <alignment horizontal="center" wrapText="1"/>
    </xf>
    <xf numFmtId="0" fontId="31" fillId="0" borderId="0" xfId="0" applyFont="1" applyFill="1"/>
    <xf numFmtId="168" fontId="31" fillId="0" borderId="22" xfId="5" applyNumberFormat="1" applyFont="1" applyFill="1" applyBorder="1" applyAlignment="1">
      <alignment horizontal="center" vertical="center"/>
    </xf>
    <xf numFmtId="167" fontId="31" fillId="0" borderId="0" xfId="2" applyNumberFormat="1" applyFont="1" applyBorder="1" applyAlignment="1">
      <alignment vertical="center"/>
    </xf>
    <xf numFmtId="9" fontId="31" fillId="0" borderId="0" xfId="0" applyNumberFormat="1" applyFont="1" applyBorder="1" applyAlignment="1">
      <alignment vertical="center"/>
    </xf>
    <xf numFmtId="0" fontId="31" fillId="11" borderId="0" xfId="0" applyFont="1" applyFill="1" applyBorder="1" applyAlignment="1">
      <alignment vertical="center"/>
    </xf>
    <xf numFmtId="167" fontId="31" fillId="11" borderId="0" xfId="2" applyNumberFormat="1" applyFont="1" applyFill="1" applyBorder="1" applyAlignment="1">
      <alignment vertical="center"/>
    </xf>
    <xf numFmtId="0" fontId="31" fillId="11" borderId="30" xfId="0" applyFont="1" applyFill="1" applyBorder="1" applyAlignment="1">
      <alignment vertical="center"/>
    </xf>
    <xf numFmtId="0" fontId="30" fillId="11" borderId="22" xfId="0" applyFont="1" applyFill="1" applyBorder="1"/>
    <xf numFmtId="0" fontId="31" fillId="11" borderId="22" xfId="0" applyFont="1" applyFill="1" applyBorder="1" applyAlignment="1">
      <alignment vertical="center"/>
    </xf>
    <xf numFmtId="0" fontId="31" fillId="11" borderId="29" xfId="0" applyFont="1" applyFill="1" applyBorder="1" applyAlignment="1">
      <alignment vertical="center"/>
    </xf>
    <xf numFmtId="0" fontId="30" fillId="11" borderId="32" xfId="0" applyFont="1" applyFill="1" applyBorder="1"/>
    <xf numFmtId="0" fontId="31" fillId="11" borderId="32" xfId="0" applyFont="1" applyFill="1" applyBorder="1" applyAlignment="1">
      <alignment vertical="center"/>
    </xf>
    <xf numFmtId="0" fontId="2" fillId="0" borderId="0" xfId="0" applyFont="1" applyAlignment="1">
      <alignment horizontal="center" wrapText="1"/>
    </xf>
    <xf numFmtId="0" fontId="30" fillId="0" borderId="31" xfId="0" applyFont="1" applyFill="1" applyBorder="1"/>
    <xf numFmtId="167" fontId="30" fillId="0" borderId="21" xfId="2" applyNumberFormat="1" applyFont="1" applyFill="1" applyBorder="1"/>
    <xf numFmtId="0" fontId="30" fillId="0" borderId="31" xfId="0" applyFont="1" applyBorder="1"/>
    <xf numFmtId="167" fontId="30" fillId="11" borderId="22" xfId="2" applyNumberFormat="1" applyFont="1" applyFill="1" applyBorder="1"/>
    <xf numFmtId="167" fontId="30" fillId="11" borderId="32" xfId="2" applyNumberFormat="1" applyFont="1" applyFill="1" applyBorder="1"/>
    <xf numFmtId="9" fontId="8" fillId="11" borderId="0" xfId="5" applyFont="1" applyFill="1" applyBorder="1" applyAlignment="1">
      <alignment horizontal="right"/>
    </xf>
    <xf numFmtId="0" fontId="30" fillId="0" borderId="21" xfId="0" applyFont="1" applyBorder="1" applyAlignment="1">
      <alignment horizontal="center" vertical="center"/>
    </xf>
    <xf numFmtId="167" fontId="30" fillId="0" borderId="21" xfId="2" applyNumberFormat="1" applyFont="1" applyBorder="1" applyAlignment="1">
      <alignment horizontal="center" vertical="center"/>
    </xf>
    <xf numFmtId="9" fontId="30" fillId="0" borderId="21" xfId="5" applyFont="1" applyFill="1" applyBorder="1" applyAlignment="1">
      <alignment horizontal="center" vertical="center"/>
    </xf>
    <xf numFmtId="167" fontId="30" fillId="0" borderId="21" xfId="2" applyNumberFormat="1" applyFont="1" applyBorder="1" applyAlignment="1">
      <alignment vertical="center"/>
    </xf>
    <xf numFmtId="168" fontId="30" fillId="0" borderId="21" xfId="5" applyNumberFormat="1" applyFont="1" applyBorder="1" applyAlignment="1">
      <alignment horizontal="center" vertical="center"/>
    </xf>
    <xf numFmtId="0" fontId="30" fillId="0" borderId="21" xfId="0" applyFont="1" applyBorder="1" applyAlignment="1">
      <alignment vertical="center" wrapText="1"/>
    </xf>
    <xf numFmtId="0" fontId="30" fillId="0" borderId="31" xfId="0" applyFont="1" applyBorder="1" applyAlignment="1">
      <alignment vertical="center"/>
    </xf>
    <xf numFmtId="9" fontId="8" fillId="0" borderId="0" xfId="5" applyFont="1" applyFill="1" applyBorder="1" applyAlignment="1">
      <alignment horizontal="right"/>
    </xf>
    <xf numFmtId="0" fontId="31" fillId="11" borderId="0" xfId="0" applyFont="1" applyFill="1" applyBorder="1" applyAlignment="1">
      <alignment horizontal="center" wrapText="1"/>
    </xf>
    <xf numFmtId="0" fontId="30" fillId="11" borderId="0" xfId="0" applyFont="1" applyFill="1" applyBorder="1"/>
    <xf numFmtId="167" fontId="30" fillId="11" borderId="22" xfId="2" applyNumberFormat="1" applyFont="1" applyFill="1" applyBorder="1" applyAlignment="1">
      <alignment horizontal="center" vertical="center"/>
    </xf>
    <xf numFmtId="167" fontId="30" fillId="11" borderId="32" xfId="2" applyNumberFormat="1" applyFont="1" applyFill="1" applyBorder="1" applyAlignment="1">
      <alignment horizontal="center" vertical="center"/>
    </xf>
    <xf numFmtId="0" fontId="4" fillId="11" borderId="0" xfId="0" applyFont="1" applyFill="1"/>
    <xf numFmtId="38" fontId="13" fillId="0" borderId="0" xfId="0" applyNumberFormat="1" applyFont="1" applyFill="1" applyBorder="1" applyAlignment="1">
      <alignment horizontal="right"/>
    </xf>
    <xf numFmtId="38" fontId="27" fillId="11" borderId="0" xfId="0" applyNumberFormat="1" applyFont="1" applyFill="1" applyBorder="1" applyAlignment="1">
      <alignment horizontal="right"/>
    </xf>
    <xf numFmtId="0" fontId="4" fillId="11" borderId="0" xfId="0" applyFont="1" applyFill="1" applyAlignment="1">
      <alignment wrapText="1"/>
    </xf>
    <xf numFmtId="9" fontId="27" fillId="11" borderId="0" xfId="5" applyFont="1" applyFill="1" applyBorder="1" applyAlignment="1">
      <alignment horizontal="right"/>
    </xf>
    <xf numFmtId="38" fontId="30" fillId="11" borderId="22" xfId="0" applyNumberFormat="1" applyFont="1" applyFill="1" applyBorder="1" applyAlignment="1">
      <alignment horizontal="center" wrapText="1"/>
    </xf>
    <xf numFmtId="5" fontId="31" fillId="11" borderId="29" xfId="0" applyNumberFormat="1" applyFont="1" applyFill="1" applyBorder="1" applyAlignment="1">
      <alignment horizontal="center" wrapText="1"/>
    </xf>
    <xf numFmtId="171" fontId="30" fillId="11" borderId="22" xfId="0" applyNumberFormat="1" applyFont="1" applyFill="1" applyBorder="1" applyAlignment="1">
      <alignment wrapText="1"/>
    </xf>
    <xf numFmtId="0" fontId="31" fillId="11" borderId="22" xfId="0" applyFont="1" applyFill="1" applyBorder="1" applyAlignment="1">
      <alignment wrapText="1"/>
    </xf>
    <xf numFmtId="38" fontId="31" fillId="11" borderId="22" xfId="0" applyNumberFormat="1" applyFont="1" applyFill="1" applyBorder="1" applyAlignment="1">
      <alignment horizontal="center" wrapText="1"/>
    </xf>
    <xf numFmtId="171" fontId="31" fillId="11" borderId="22" xfId="0" applyNumberFormat="1" applyFont="1" applyFill="1" applyBorder="1" applyAlignment="1">
      <alignment horizontal="center" wrapText="1"/>
    </xf>
    <xf numFmtId="0" fontId="30" fillId="11" borderId="32" xfId="0" applyFont="1" applyFill="1" applyBorder="1" applyAlignment="1">
      <alignment horizontal="center" vertical="top" wrapText="1"/>
    </xf>
    <xf numFmtId="38" fontId="30" fillId="11" borderId="32" xfId="0" applyNumberFormat="1" applyFont="1" applyFill="1" applyBorder="1" applyAlignment="1">
      <alignment horizontal="center" wrapText="1"/>
    </xf>
    <xf numFmtId="171" fontId="30" fillId="11" borderId="32" xfId="0" applyNumberFormat="1" applyFont="1" applyFill="1" applyBorder="1" applyAlignment="1">
      <alignment wrapText="1"/>
    </xf>
    <xf numFmtId="9" fontId="30" fillId="11" borderId="32" xfId="0" applyNumberFormat="1" applyFont="1" applyFill="1" applyBorder="1" applyAlignment="1">
      <alignment horizontal="center" wrapText="1"/>
    </xf>
    <xf numFmtId="0" fontId="30" fillId="11" borderId="22" xfId="0" applyNumberFormat="1" applyFont="1" applyFill="1" applyBorder="1" applyAlignment="1">
      <alignment horizontal="center" wrapText="1"/>
    </xf>
    <xf numFmtId="0" fontId="30" fillId="11" borderId="32" xfId="0" applyNumberFormat="1" applyFont="1" applyFill="1" applyBorder="1" applyAlignment="1">
      <alignment horizontal="center" wrapText="1"/>
    </xf>
    <xf numFmtId="37" fontId="2" fillId="0" borderId="0" xfId="0" applyNumberFormat="1" applyFont="1" applyFill="1" applyBorder="1"/>
    <xf numFmtId="37" fontId="0" fillId="0" borderId="0" xfId="0" applyNumberFormat="1" applyFill="1" applyBorder="1" applyAlignment="1">
      <alignment horizontal="right" wrapText="1"/>
    </xf>
    <xf numFmtId="37" fontId="0" fillId="0" borderId="0" xfId="0" applyNumberFormat="1" applyFill="1" applyBorder="1"/>
    <xf numFmtId="37" fontId="0" fillId="0" borderId="0" xfId="0" applyNumberFormat="1" applyFill="1" applyBorder="1" applyAlignment="1">
      <alignment horizontal="right"/>
    </xf>
    <xf numFmtId="0" fontId="43" fillId="0" borderId="0" xfId="0" applyFont="1" applyFill="1"/>
    <xf numFmtId="0" fontId="31" fillId="10" borderId="30" xfId="0" applyFont="1" applyFill="1" applyBorder="1" applyAlignment="1">
      <alignment horizontal="left" wrapText="1"/>
    </xf>
    <xf numFmtId="0" fontId="31" fillId="10" borderId="30" xfId="0" applyFont="1" applyFill="1" applyBorder="1" applyAlignment="1">
      <alignment horizontal="center" wrapText="1"/>
    </xf>
    <xf numFmtId="0" fontId="30" fillId="10" borderId="30" xfId="0" applyFont="1" applyFill="1" applyBorder="1" applyAlignment="1"/>
    <xf numFmtId="0" fontId="30" fillId="0" borderId="33" xfId="0" applyFont="1" applyBorder="1" applyAlignment="1"/>
    <xf numFmtId="0" fontId="31" fillId="10" borderId="30" xfId="0" applyFont="1" applyFill="1" applyBorder="1" applyAlignment="1"/>
    <xf numFmtId="0" fontId="31" fillId="10" borderId="30" xfId="0" applyFont="1" applyFill="1" applyBorder="1" applyAlignment="1">
      <alignment horizontal="center"/>
    </xf>
    <xf numFmtId="0" fontId="2" fillId="11" borderId="0" xfId="0" applyFont="1" applyFill="1" applyBorder="1" applyAlignment="1">
      <alignment vertical="center" wrapText="1"/>
    </xf>
    <xf numFmtId="0" fontId="45" fillId="0" borderId="22" xfId="0" applyFont="1" applyFill="1" applyBorder="1" applyAlignment="1">
      <alignment vertical="top" wrapText="1"/>
    </xf>
    <xf numFmtId="168" fontId="45" fillId="0" borderId="22" xfId="5" applyNumberFormat="1" applyFont="1" applyFill="1" applyBorder="1" applyAlignment="1">
      <alignment horizontal="right" vertical="top" wrapText="1"/>
    </xf>
    <xf numFmtId="0" fontId="30" fillId="0" borderId="31" xfId="0" applyFont="1" applyFill="1" applyBorder="1" applyAlignment="1">
      <alignment wrapText="1"/>
    </xf>
    <xf numFmtId="167" fontId="30" fillId="0" borderId="31" xfId="2" applyNumberFormat="1" applyFont="1" applyFill="1" applyBorder="1" applyAlignment="1">
      <alignment horizontal="right" wrapText="1"/>
    </xf>
    <xf numFmtId="0" fontId="44" fillId="0" borderId="22" xfId="0" applyFont="1" applyFill="1" applyBorder="1" applyAlignment="1">
      <alignment vertical="top" wrapText="1"/>
    </xf>
    <xf numFmtId="168" fontId="44" fillId="0" borderId="22" xfId="5" applyNumberFormat="1" applyFont="1" applyFill="1" applyBorder="1" applyAlignment="1">
      <alignment horizontal="right" vertical="top" wrapText="1"/>
    </xf>
    <xf numFmtId="0" fontId="31" fillId="0" borderId="29" xfId="0" applyFont="1" applyFill="1" applyBorder="1" applyAlignment="1">
      <alignment wrapText="1"/>
    </xf>
    <xf numFmtId="168" fontId="31" fillId="0" borderId="29" xfId="0" applyNumberFormat="1" applyFont="1" applyFill="1" applyBorder="1" applyAlignment="1">
      <alignment horizontal="right" wrapText="1"/>
    </xf>
    <xf numFmtId="0" fontId="30" fillId="0" borderId="22" xfId="0" applyFont="1" applyFill="1" applyBorder="1" applyAlignment="1">
      <alignment vertical="top" wrapText="1"/>
    </xf>
    <xf numFmtId="44" fontId="30" fillId="0" borderId="21" xfId="2" applyFont="1" applyFill="1" applyBorder="1" applyAlignment="1">
      <alignment horizontal="right" vertical="top" wrapText="1"/>
    </xf>
    <xf numFmtId="168" fontId="30" fillId="0" borderId="21" xfId="5" applyNumberFormat="1" applyFont="1" applyFill="1" applyBorder="1" applyAlignment="1">
      <alignment horizontal="right" vertical="top" wrapText="1"/>
    </xf>
    <xf numFmtId="0" fontId="4" fillId="0" borderId="0" xfId="0" applyFont="1" applyFill="1" applyBorder="1" applyAlignment="1"/>
    <xf numFmtId="0" fontId="30" fillId="0" borderId="22" xfId="0" applyFont="1" applyFill="1" applyBorder="1" applyAlignment="1">
      <alignment wrapText="1"/>
    </xf>
    <xf numFmtId="169" fontId="30" fillId="0" borderId="22" xfId="2" applyNumberFormat="1" applyFont="1" applyFill="1" applyBorder="1" applyAlignment="1">
      <alignment horizontal="right"/>
    </xf>
    <xf numFmtId="0" fontId="30" fillId="0" borderId="22" xfId="0" applyFont="1" applyFill="1" applyBorder="1" applyAlignment="1">
      <alignment horizontal="right"/>
    </xf>
    <xf numFmtId="0" fontId="30" fillId="0" borderId="22" xfId="0" applyFont="1" applyFill="1" applyBorder="1"/>
    <xf numFmtId="0" fontId="30" fillId="0" borderId="32" xfId="0" applyFont="1" applyFill="1" applyBorder="1"/>
    <xf numFmtId="0" fontId="40" fillId="0" borderId="0" xfId="0" applyFont="1"/>
    <xf numFmtId="0" fontId="30" fillId="0" borderId="0" xfId="0" applyFont="1" applyFill="1"/>
    <xf numFmtId="0" fontId="44" fillId="0" borderId="0" xfId="0" applyFont="1" applyFill="1"/>
    <xf numFmtId="0" fontId="44" fillId="0" borderId="0" xfId="0" applyFont="1"/>
    <xf numFmtId="0" fontId="50" fillId="0" borderId="0" xfId="0" applyFont="1"/>
    <xf numFmtId="9" fontId="30" fillId="0" borderId="0" xfId="5" applyFont="1"/>
    <xf numFmtId="6" fontId="30" fillId="0" borderId="0" xfId="0" quotePrefix="1" applyNumberFormat="1" applyFont="1" applyAlignment="1">
      <alignment horizontal="center"/>
    </xf>
    <xf numFmtId="167" fontId="30" fillId="0" borderId="0" xfId="2" applyNumberFormat="1" applyFont="1" applyAlignment="1">
      <alignment horizontal="right"/>
    </xf>
    <xf numFmtId="167" fontId="30" fillId="0" borderId="0" xfId="0" applyNumberFormat="1" applyFont="1" applyAlignment="1">
      <alignment horizontal="right"/>
    </xf>
    <xf numFmtId="167" fontId="30" fillId="0" borderId="0" xfId="0" applyNumberFormat="1" applyFont="1"/>
    <xf numFmtId="0" fontId="30" fillId="10" borderId="30" xfId="0" applyFont="1" applyFill="1" applyBorder="1"/>
    <xf numFmtId="0" fontId="30" fillId="0" borderId="0" xfId="0" applyFont="1" applyAlignment="1">
      <alignment horizontal="right"/>
    </xf>
    <xf numFmtId="165" fontId="30" fillId="0" borderId="0" xfId="1" applyNumberFormat="1" applyFont="1"/>
    <xf numFmtId="0" fontId="30" fillId="0" borderId="0" xfId="0" applyFont="1" applyAlignment="1"/>
    <xf numFmtId="0" fontId="30" fillId="0" borderId="0" xfId="0" applyFont="1" applyAlignment="1">
      <alignment vertical="center"/>
    </xf>
    <xf numFmtId="0" fontId="30" fillId="0" borderId="38" xfId="0" applyFont="1" applyBorder="1"/>
    <xf numFmtId="0" fontId="30" fillId="0" borderId="0" xfId="0" applyFont="1" applyBorder="1"/>
    <xf numFmtId="0" fontId="30" fillId="11" borderId="0" xfId="0" applyFont="1" applyFill="1"/>
    <xf numFmtId="167" fontId="30" fillId="0" borderId="0" xfId="2" applyNumberFormat="1" applyFont="1"/>
    <xf numFmtId="167" fontId="51" fillId="0" borderId="0" xfId="2" applyNumberFormat="1" applyFont="1"/>
    <xf numFmtId="167" fontId="30" fillId="0" borderId="0" xfId="2" applyNumberFormat="1" applyFont="1" applyFill="1"/>
    <xf numFmtId="167" fontId="51" fillId="0" borderId="0" xfId="2" applyNumberFormat="1" applyFont="1" applyFill="1"/>
    <xf numFmtId="0" fontId="51" fillId="0" borderId="0" xfId="0" applyFont="1" applyFill="1"/>
    <xf numFmtId="0" fontId="51" fillId="0" borderId="0" xfId="0" applyFont="1"/>
    <xf numFmtId="0" fontId="52" fillId="0" borderId="0" xfId="0" applyFont="1"/>
    <xf numFmtId="165" fontId="30" fillId="0" borderId="0" xfId="0" applyNumberFormat="1" applyFont="1"/>
    <xf numFmtId="168" fontId="44" fillId="0" borderId="36" xfId="0" applyNumberFormat="1" applyFont="1" applyBorder="1" applyAlignment="1">
      <alignment horizontal="right" vertical="top"/>
    </xf>
    <xf numFmtId="168" fontId="44" fillId="0" borderId="0" xfId="0" applyNumberFormat="1" applyFont="1" applyAlignment="1">
      <alignment horizontal="right"/>
    </xf>
    <xf numFmtId="0" fontId="30" fillId="0" borderId="34" xfId="0" applyFont="1" applyBorder="1" applyAlignment="1">
      <alignment horizontal="right"/>
    </xf>
    <xf numFmtId="168" fontId="44" fillId="0" borderId="22" xfId="0" applyNumberFormat="1" applyFont="1" applyBorder="1" applyAlignment="1">
      <alignment horizontal="right" vertical="top"/>
    </xf>
    <xf numFmtId="168" fontId="44" fillId="0" borderId="22" xfId="0" applyNumberFormat="1" applyFont="1" applyFill="1" applyBorder="1" applyAlignment="1">
      <alignment horizontal="right" vertical="top"/>
    </xf>
    <xf numFmtId="168" fontId="44" fillId="0" borderId="0" xfId="0" applyNumberFormat="1" applyFont="1" applyFill="1" applyAlignment="1">
      <alignment horizontal="right"/>
    </xf>
    <xf numFmtId="168" fontId="44" fillId="0" borderId="21" xfId="0" applyNumberFormat="1" applyFont="1" applyFill="1" applyBorder="1" applyAlignment="1">
      <alignment horizontal="right" vertical="top"/>
    </xf>
    <xf numFmtId="168" fontId="44" fillId="0" borderId="7" xfId="0" applyNumberFormat="1" applyFont="1" applyFill="1" applyBorder="1" applyAlignment="1">
      <alignment horizontal="right"/>
    </xf>
    <xf numFmtId="0" fontId="30" fillId="0" borderId="7" xfId="0" applyFont="1" applyFill="1" applyBorder="1"/>
    <xf numFmtId="0" fontId="30" fillId="0" borderId="31" xfId="0" applyFont="1" applyFill="1" applyBorder="1" applyAlignment="1">
      <alignment horizontal="right"/>
    </xf>
    <xf numFmtId="0" fontId="30" fillId="0" borderId="0" xfId="0" applyFont="1" applyFill="1" applyAlignment="1">
      <alignment horizontal="right"/>
    </xf>
    <xf numFmtId="168" fontId="44" fillId="0" borderId="0" xfId="0" applyNumberFormat="1" applyFont="1" applyFill="1" applyAlignment="1">
      <alignment horizontal="right" vertical="top"/>
    </xf>
    <xf numFmtId="168" fontId="30" fillId="0" borderId="21" xfId="0" applyNumberFormat="1" applyFont="1" applyFill="1" applyBorder="1" applyAlignment="1">
      <alignment horizontal="right" vertical="top"/>
    </xf>
    <xf numFmtId="0" fontId="30" fillId="0" borderId="0" xfId="0" applyFont="1" applyFill="1" applyAlignment="1">
      <alignment vertical="center"/>
    </xf>
    <xf numFmtId="168" fontId="30" fillId="0" borderId="29" xfId="0" applyNumberFormat="1" applyFont="1" applyFill="1" applyBorder="1" applyAlignment="1">
      <alignment horizontal="right"/>
    </xf>
    <xf numFmtId="168" fontId="30" fillId="0" borderId="0" xfId="0" applyNumberFormat="1" applyFont="1" applyFill="1" applyAlignment="1">
      <alignment horizontal="right"/>
    </xf>
    <xf numFmtId="0" fontId="40" fillId="11" borderId="0" xfId="0" applyFont="1" applyFill="1"/>
    <xf numFmtId="9" fontId="30" fillId="11" borderId="0" xfId="5" applyFont="1" applyFill="1"/>
    <xf numFmtId="9" fontId="30" fillId="11" borderId="0" xfId="0" applyNumberFormat="1" applyFont="1" applyFill="1"/>
    <xf numFmtId="0" fontId="30" fillId="11" borderId="30" xfId="0" applyFont="1" applyFill="1" applyBorder="1"/>
    <xf numFmtId="0" fontId="30" fillId="11" borderId="29" xfId="0" applyFont="1" applyFill="1" applyBorder="1"/>
    <xf numFmtId="0" fontId="30" fillId="0" borderId="0" xfId="0" applyFont="1" applyAlignment="1">
      <alignment wrapText="1"/>
    </xf>
    <xf numFmtId="0" fontId="30" fillId="0" borderId="29" xfId="0" applyFont="1" applyBorder="1" applyAlignment="1">
      <alignment vertical="center" wrapText="1"/>
    </xf>
    <xf numFmtId="9" fontId="0" fillId="0" borderId="0" xfId="5" applyFont="1" applyBorder="1" applyAlignment="1">
      <alignment horizontal="right" wrapText="1"/>
    </xf>
    <xf numFmtId="9" fontId="0" fillId="10" borderId="0" xfId="5" applyFont="1" applyFill="1" applyBorder="1" applyAlignment="1">
      <alignment horizontal="right" wrapText="1"/>
    </xf>
    <xf numFmtId="9" fontId="30" fillId="0" borderId="0" xfId="5" applyFont="1" applyAlignment="1">
      <alignment horizontal="right"/>
    </xf>
    <xf numFmtId="0" fontId="30" fillId="0" borderId="22" xfId="2" applyNumberFormat="1" applyFont="1" applyFill="1" applyBorder="1"/>
    <xf numFmtId="0" fontId="30" fillId="0" borderId="32" xfId="2" applyNumberFormat="1" applyFont="1" applyFill="1" applyBorder="1"/>
    <xf numFmtId="37" fontId="1" fillId="0" borderId="0" xfId="0" applyNumberFormat="1" applyFont="1" applyBorder="1" applyAlignment="1">
      <alignment wrapText="1"/>
    </xf>
    <xf numFmtId="0" fontId="0" fillId="0" borderId="0" xfId="0" applyNumberFormat="1" applyFill="1" applyBorder="1" applyAlignment="1">
      <alignment horizontal="right" wrapText="1"/>
    </xf>
    <xf numFmtId="0" fontId="30" fillId="0" borderId="29" xfId="5" applyNumberFormat="1" applyFont="1" applyBorder="1" applyAlignment="1">
      <alignment horizontal="right"/>
    </xf>
    <xf numFmtId="0" fontId="4" fillId="0" borderId="0" xfId="0" applyFont="1" applyAlignment="1">
      <alignment wrapText="1"/>
    </xf>
    <xf numFmtId="43" fontId="2" fillId="0" borderId="0" xfId="1" applyFont="1"/>
    <xf numFmtId="0" fontId="2" fillId="0" borderId="0" xfId="0" applyFont="1"/>
    <xf numFmtId="0" fontId="4" fillId="0" borderId="0" xfId="0" applyFont="1" applyAlignment="1">
      <alignment wrapText="1"/>
    </xf>
    <xf numFmtId="0" fontId="7" fillId="0" borderId="10" xfId="4" applyFont="1" applyBorder="1" applyAlignment="1">
      <alignment wrapText="1"/>
    </xf>
    <xf numFmtId="0" fontId="0" fillId="0" borderId="7" xfId="0" applyBorder="1" applyAlignment="1">
      <alignment wrapText="1"/>
    </xf>
    <xf numFmtId="0" fontId="2" fillId="0" borderId="0" xfId="0" applyFont="1" applyAlignment="1">
      <alignment horizontal="left" wrapText="1"/>
    </xf>
    <xf numFmtId="0" fontId="4" fillId="0" borderId="0" xfId="0" applyFont="1" applyAlignment="1">
      <alignment horizontal="left" wrapText="1"/>
    </xf>
    <xf numFmtId="0" fontId="0" fillId="0" borderId="0" xfId="0" applyFill="1" applyBorder="1" applyAlignment="1">
      <alignment wrapText="1"/>
    </xf>
    <xf numFmtId="0" fontId="0" fillId="0" borderId="0" xfId="0" applyAlignment="1">
      <alignment wrapText="1"/>
    </xf>
    <xf numFmtId="0" fontId="0" fillId="0" borderId="0" xfId="0" applyFill="1" applyAlignment="1">
      <alignment wrapText="1"/>
    </xf>
    <xf numFmtId="0" fontId="31" fillId="11" borderId="29" xfId="0" applyFont="1" applyFill="1" applyBorder="1" applyAlignment="1">
      <alignment horizontal="left" wrapText="1"/>
    </xf>
    <xf numFmtId="0" fontId="31" fillId="0" borderId="39" xfId="0" applyFont="1" applyBorder="1" applyAlignment="1">
      <alignment horizontal="left" vertical="center"/>
    </xf>
    <xf numFmtId="0" fontId="31" fillId="0" borderId="40" xfId="0" applyFont="1" applyBorder="1" applyAlignment="1">
      <alignment horizontal="left" vertical="center"/>
    </xf>
    <xf numFmtId="0" fontId="30" fillId="0" borderId="18" xfId="0" applyFont="1" applyFill="1" applyBorder="1" applyAlignment="1">
      <alignment vertical="center" wrapText="1"/>
    </xf>
    <xf numFmtId="0" fontId="30" fillId="0" borderId="18" xfId="0" applyFont="1" applyBorder="1" applyAlignment="1"/>
    <xf numFmtId="0" fontId="31" fillId="12" borderId="41" xfId="0" applyFont="1" applyFill="1" applyBorder="1" applyAlignment="1">
      <alignment horizontal="center" vertical="center"/>
    </xf>
    <xf numFmtId="0" fontId="31" fillId="12" borderId="1" xfId="0" applyFont="1" applyFill="1" applyBorder="1" applyAlignment="1">
      <alignment horizontal="center" vertical="center"/>
    </xf>
    <xf numFmtId="0" fontId="31" fillId="12" borderId="42" xfId="0" applyFont="1" applyFill="1" applyBorder="1" applyAlignment="1">
      <alignment horizontal="center" vertical="center"/>
    </xf>
    <xf numFmtId="168" fontId="44" fillId="0" borderId="6" xfId="5" applyNumberFormat="1" applyFont="1" applyFill="1" applyBorder="1" applyAlignment="1">
      <alignment horizontal="right" vertical="top"/>
    </xf>
    <xf numFmtId="168" fontId="44" fillId="0" borderId="0" xfId="5" applyNumberFormat="1" applyFont="1" applyFill="1" applyBorder="1" applyAlignment="1">
      <alignment horizontal="right" vertical="top"/>
    </xf>
    <xf numFmtId="0" fontId="39" fillId="0" borderId="0" xfId="0" applyFont="1"/>
    <xf numFmtId="0" fontId="31" fillId="10" borderId="43" xfId="0" applyFont="1" applyFill="1" applyBorder="1" applyAlignment="1">
      <alignment horizontal="left" wrapText="1"/>
    </xf>
    <xf numFmtId="0" fontId="31" fillId="10" borderId="44" xfId="0" applyFont="1" applyFill="1" applyBorder="1" applyAlignment="1">
      <alignment horizontal="left" wrapText="1"/>
    </xf>
    <xf numFmtId="0" fontId="30" fillId="0" borderId="22" xfId="0" applyFont="1" applyFill="1" applyBorder="1"/>
    <xf numFmtId="0" fontId="40" fillId="0" borderId="7" xfId="0" applyFont="1" applyFill="1" applyBorder="1" applyAlignment="1">
      <alignment horizontal="center"/>
    </xf>
    <xf numFmtId="0" fontId="30" fillId="11" borderId="22" xfId="0" applyFont="1" applyFill="1" applyBorder="1" applyAlignment="1">
      <alignment horizontal="left" wrapText="1"/>
    </xf>
    <xf numFmtId="0" fontId="30" fillId="0" borderId="32" xfId="0" applyFont="1" applyFill="1" applyBorder="1"/>
  </cellXfs>
  <cellStyles count="6">
    <cellStyle name="Comma" xfId="1" builtinId="3"/>
    <cellStyle name="Currency" xfId="2" builtinId="4"/>
    <cellStyle name="Normal" xfId="0" builtinId="0"/>
    <cellStyle name="Normal_App I_B CARS spreads" xfId="3" xr:uid="{00000000-0005-0000-0000-000003000000}"/>
    <cellStyle name="Normal_Spreadsheet Template" xfId="4" xr:uid="{00000000-0005-0000-0000-000004000000}"/>
    <cellStyle name="Percent" xfId="5" builtinId="5"/>
  </cellStyles>
  <dxfs count="3">
    <dxf>
      <font>
        <b/>
        <i/>
        <condense val="0"/>
        <extend val="0"/>
        <color indexed="14"/>
      </font>
    </dxf>
    <dxf>
      <font>
        <b/>
        <i/>
        <condense val="0"/>
        <extend val="0"/>
        <color indexed="14"/>
      </font>
    </dxf>
    <dxf>
      <font>
        <b/>
        <i/>
        <condense val="0"/>
        <extend val="0"/>
        <color indexed="14"/>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3547386185121"/>
          <c:y val="7.6412084088332374E-2"/>
          <c:w val="0.5949788702102482"/>
          <c:h val="0.78088563815034484"/>
        </c:manualLayout>
      </c:layout>
      <c:lineChart>
        <c:grouping val="standard"/>
        <c:varyColors val="0"/>
        <c:ser>
          <c:idx val="0"/>
          <c:order val="0"/>
          <c:tx>
            <c:strRef>
              <c:f>'Graphs NEW'!$B$40</c:f>
              <c:strCache>
                <c:ptCount val="1"/>
                <c:pt idx="0">
                  <c:v>Loans Outstanding</c:v>
                </c:pt>
              </c:strCache>
            </c:strRef>
          </c:tx>
          <c:spPr>
            <a:ln w="25400">
              <a:solidFill>
                <a:srgbClr val="000000"/>
              </a:solidFill>
              <a:prstDash val="solid"/>
            </a:ln>
          </c:spPr>
          <c:marker>
            <c:symbol val="diamond"/>
            <c:size val="7"/>
            <c:spPr>
              <a:solidFill>
                <a:srgbClr val="000000"/>
              </a:solidFill>
              <a:ln>
                <a:solidFill>
                  <a:srgbClr val="000000"/>
                </a:solidFill>
                <a:prstDash val="solid"/>
              </a:ln>
            </c:spPr>
          </c:marker>
          <c:cat>
            <c:strRef>
              <c:f>'Graphs NEW'!$C$39:$K$39</c:f>
              <c:strCache>
                <c:ptCount val="5"/>
                <c:pt idx="0">
                  <c:v>FYE 2006</c:v>
                </c:pt>
                <c:pt idx="1">
                  <c:v>FYE 2007</c:v>
                </c:pt>
                <c:pt idx="2">
                  <c:v>FYE 2008</c:v>
                </c:pt>
                <c:pt idx="3">
                  <c:v>FYE 2009</c:v>
                </c:pt>
                <c:pt idx="4">
                  <c:v>FYE 2010</c:v>
                </c:pt>
              </c:strCache>
            </c:strRef>
          </c:cat>
          <c:val>
            <c:numRef>
              <c:f>'Graphs NEW'!$C$40:$K$40</c:f>
              <c:numCache>
                <c:formatCode>0%</c:formatCode>
                <c:ptCount val="5"/>
                <c:pt idx="0">
                  <c:v>0.75243747350572276</c:v>
                </c:pt>
                <c:pt idx="1">
                  <c:v>0.7455817378497791</c:v>
                </c:pt>
                <c:pt idx="2">
                  <c:v>0.98664238008500305</c:v>
                </c:pt>
                <c:pt idx="3">
                  <c:v>0</c:v>
                </c:pt>
                <c:pt idx="4">
                  <c:v>0.77982541222114454</c:v>
                </c:pt>
              </c:numCache>
            </c:numRef>
          </c:val>
          <c:smooth val="0"/>
          <c:extLst>
            <c:ext xmlns:c16="http://schemas.microsoft.com/office/drawing/2014/chart" uri="{C3380CC4-5D6E-409C-BE32-E72D297353CC}">
              <c16:uniqueId val="{00000000-4D10-4E5F-8D80-275B5991EA57}"/>
            </c:ext>
          </c:extLst>
        </c:ser>
        <c:ser>
          <c:idx val="1"/>
          <c:order val="1"/>
          <c:tx>
            <c:strRef>
              <c:f>'Graphs NEW'!$B$41</c:f>
              <c:strCache>
                <c:ptCount val="1"/>
                <c:pt idx="0">
                  <c:v>Loans and Commitments Outstanding</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cat>
            <c:strRef>
              <c:f>'Graphs NEW'!$C$39:$K$39</c:f>
              <c:strCache>
                <c:ptCount val="5"/>
                <c:pt idx="0">
                  <c:v>FYE 2006</c:v>
                </c:pt>
                <c:pt idx="1">
                  <c:v>FYE 2007</c:v>
                </c:pt>
                <c:pt idx="2">
                  <c:v>FYE 2008</c:v>
                </c:pt>
                <c:pt idx="3">
                  <c:v>FYE 2009</c:v>
                </c:pt>
                <c:pt idx="4">
                  <c:v>FYE 2010</c:v>
                </c:pt>
              </c:strCache>
            </c:strRef>
          </c:cat>
          <c:val>
            <c:numRef>
              <c:f>'Graphs NEW'!$C$41:$K$41</c:f>
              <c:numCache>
                <c:formatCode>0%</c:formatCode>
                <c:ptCount val="5"/>
                <c:pt idx="0">
                  <c:v>0.75243747350572276</c:v>
                </c:pt>
                <c:pt idx="1">
                  <c:v>0.7455817378497791</c:v>
                </c:pt>
                <c:pt idx="2">
                  <c:v>0.98664238008500305</c:v>
                </c:pt>
                <c:pt idx="3">
                  <c:v>0</c:v>
                </c:pt>
                <c:pt idx="4">
                  <c:v>0.77982541222114454</c:v>
                </c:pt>
              </c:numCache>
            </c:numRef>
          </c:val>
          <c:smooth val="0"/>
          <c:extLst>
            <c:ext xmlns:c16="http://schemas.microsoft.com/office/drawing/2014/chart" uri="{C3380CC4-5D6E-409C-BE32-E72D297353CC}">
              <c16:uniqueId val="{00000001-4D10-4E5F-8D80-275B5991EA57}"/>
            </c:ext>
          </c:extLst>
        </c:ser>
        <c:dLbls>
          <c:showLegendKey val="0"/>
          <c:showVal val="0"/>
          <c:showCatName val="0"/>
          <c:showSerName val="0"/>
          <c:showPercent val="0"/>
          <c:showBubbleSize val="0"/>
        </c:dLbls>
        <c:marker val="1"/>
        <c:smooth val="0"/>
        <c:axId val="319326960"/>
        <c:axId val="319689480"/>
      </c:lineChart>
      <c:catAx>
        <c:axId val="319326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Calibri" pitchFamily="34" charset="0"/>
                <a:ea typeface="Arial"/>
                <a:cs typeface="Arial"/>
              </a:defRPr>
            </a:pPr>
            <a:endParaRPr lang="en-US"/>
          </a:p>
        </c:txPr>
        <c:crossAx val="319689480"/>
        <c:crosses val="autoZero"/>
        <c:auto val="1"/>
        <c:lblAlgn val="ctr"/>
        <c:lblOffset val="100"/>
        <c:tickLblSkip val="1"/>
        <c:tickMarkSkip val="1"/>
        <c:noMultiLvlLbl val="0"/>
      </c:catAx>
      <c:valAx>
        <c:axId val="31968948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Percentage Deployment</a:t>
                </a:r>
              </a:p>
            </c:rich>
          </c:tx>
          <c:layout>
            <c:manualLayout>
              <c:xMode val="edge"/>
              <c:yMode val="edge"/>
              <c:x val="2.5896386607588029E-2"/>
              <c:y val="0.15282426905939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26960"/>
        <c:crosses val="autoZero"/>
        <c:crossBetween val="between"/>
      </c:valAx>
      <c:spPr>
        <a:noFill/>
        <a:ln w="12700">
          <a:solidFill>
            <a:srgbClr val="808080"/>
          </a:solidFill>
          <a:prstDash val="solid"/>
        </a:ln>
      </c:spPr>
    </c:plotArea>
    <c:legend>
      <c:legendPos val="r"/>
      <c:layout>
        <c:manualLayout>
          <c:xMode val="edge"/>
          <c:yMode val="edge"/>
          <c:x val="0.77769066501095974"/>
          <c:y val="0.18954246998195073"/>
          <c:w val="0.21268384462694856"/>
          <c:h val="0.6128506029769536"/>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Tahoma"/>
                <a:ea typeface="Tahoma"/>
                <a:cs typeface="Tahoma"/>
              </a:defRPr>
            </a:pPr>
            <a:r>
              <a:t>Asset Composition</a:t>
            </a:r>
          </a:p>
        </c:rich>
      </c:tx>
      <c:layout>
        <c:manualLayout>
          <c:xMode val="edge"/>
          <c:yMode val="edge"/>
          <c:x val="0.38923482390788339"/>
          <c:y val="3.8314176245210725E-2"/>
        </c:manualLayout>
      </c:layout>
      <c:overlay val="0"/>
      <c:spPr>
        <a:noFill/>
        <a:ln w="25400">
          <a:noFill/>
        </a:ln>
      </c:spPr>
    </c:title>
    <c:autoTitleDeleted val="0"/>
    <c:plotArea>
      <c:layout>
        <c:manualLayout>
          <c:layoutTarget val="inner"/>
          <c:xMode val="edge"/>
          <c:yMode val="edge"/>
          <c:x val="0.2028989609596617"/>
          <c:y val="0.23371734957700985"/>
          <c:w val="0.37888275362875851"/>
          <c:h val="0.52873761051848311"/>
        </c:manualLayout>
      </c:layout>
      <c:lineChart>
        <c:grouping val="standard"/>
        <c:varyColors val="0"/>
        <c:ser>
          <c:idx val="0"/>
          <c:order val="0"/>
          <c:tx>
            <c:strRef>
              <c:f>Graphs!$B$45</c:f>
              <c:strCache>
                <c:ptCount val="1"/>
                <c:pt idx="0">
                  <c:v> Cash and Equivalents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Graphs!$C$44:$K$44</c:f>
              <c:numCache>
                <c:formatCode>m/d/yyyy</c:formatCode>
                <c:ptCount val="5"/>
                <c:pt idx="0">
                  <c:v>40908</c:v>
                </c:pt>
                <c:pt idx="1">
                  <c:v>41274</c:v>
                </c:pt>
                <c:pt idx="2">
                  <c:v>41639</c:v>
                </c:pt>
                <c:pt idx="3">
                  <c:v>0</c:v>
                </c:pt>
                <c:pt idx="4">
                  <c:v>42004</c:v>
                </c:pt>
              </c:numCache>
            </c:numRef>
          </c:cat>
          <c:val>
            <c:numRef>
              <c:f>Graphs!$C$45:$K$45</c:f>
              <c:numCache>
                <c:formatCode>_("$"* #,##0_);_("$"* \(#,##0\);_("$"* "-"??_);_(@_)</c:formatCode>
                <c:ptCount val="5"/>
                <c:pt idx="0">
                  <c:v>1275000</c:v>
                </c:pt>
                <c:pt idx="1">
                  <c:v>1825000</c:v>
                </c:pt>
                <c:pt idx="2">
                  <c:v>2000000</c:v>
                </c:pt>
                <c:pt idx="3">
                  <c:v>0</c:v>
                </c:pt>
                <c:pt idx="4">
                  <c:v>3125000</c:v>
                </c:pt>
              </c:numCache>
            </c:numRef>
          </c:val>
          <c:smooth val="0"/>
          <c:extLst>
            <c:ext xmlns:c16="http://schemas.microsoft.com/office/drawing/2014/chart" uri="{C3380CC4-5D6E-409C-BE32-E72D297353CC}">
              <c16:uniqueId val="{00000000-5CCC-4300-BEDD-27553666D535}"/>
            </c:ext>
          </c:extLst>
        </c:ser>
        <c:ser>
          <c:idx val="1"/>
          <c:order val="1"/>
          <c:tx>
            <c:strRef>
              <c:f>Graphs!$B$46</c:f>
              <c:strCache>
                <c:ptCount val="1"/>
                <c:pt idx="0">
                  <c:v> Accounts Receivable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Graphs!$C$44:$K$44</c:f>
              <c:numCache>
                <c:formatCode>m/d/yyyy</c:formatCode>
                <c:ptCount val="5"/>
                <c:pt idx="0">
                  <c:v>40908</c:v>
                </c:pt>
                <c:pt idx="1">
                  <c:v>41274</c:v>
                </c:pt>
                <c:pt idx="2">
                  <c:v>41639</c:v>
                </c:pt>
                <c:pt idx="3">
                  <c:v>0</c:v>
                </c:pt>
                <c:pt idx="4">
                  <c:v>42004</c:v>
                </c:pt>
              </c:numCache>
            </c:numRef>
          </c:cat>
          <c:val>
            <c:numRef>
              <c:f>Graphs!$C$46:$K$46</c:f>
              <c:numCache>
                <c:formatCode>_("$"* #,##0_);_("$"* \(#,##0\);_("$"* "-"??_);_(@_)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5CCC-4300-BEDD-27553666D535}"/>
            </c:ext>
          </c:extLst>
        </c:ser>
        <c:ser>
          <c:idx val="2"/>
          <c:order val="2"/>
          <c:tx>
            <c:strRef>
              <c:f>Graphs!$B$47</c:f>
              <c:strCache>
                <c:ptCount val="1"/>
                <c:pt idx="0">
                  <c:v> Loans Receivable (net) </c:v>
                </c:pt>
              </c:strCache>
            </c:strRef>
          </c:tx>
          <c:spPr>
            <a:ln w="12700">
              <a:solidFill>
                <a:srgbClr val="333333"/>
              </a:solidFill>
              <a:prstDash val="solid"/>
            </a:ln>
          </c:spPr>
          <c:marker>
            <c:symbol val="triangle"/>
            <c:size val="5"/>
            <c:spPr>
              <a:solidFill>
                <a:srgbClr val="333333"/>
              </a:solidFill>
              <a:ln>
                <a:solidFill>
                  <a:srgbClr val="333333"/>
                </a:solidFill>
                <a:prstDash val="solid"/>
              </a:ln>
            </c:spPr>
          </c:marker>
          <c:cat>
            <c:numRef>
              <c:f>Graphs!$C$44:$K$44</c:f>
              <c:numCache>
                <c:formatCode>m/d/yyyy</c:formatCode>
                <c:ptCount val="5"/>
                <c:pt idx="0">
                  <c:v>40908</c:v>
                </c:pt>
                <c:pt idx="1">
                  <c:v>41274</c:v>
                </c:pt>
                <c:pt idx="2">
                  <c:v>41639</c:v>
                </c:pt>
                <c:pt idx="3">
                  <c:v>0</c:v>
                </c:pt>
                <c:pt idx="4">
                  <c:v>42004</c:v>
                </c:pt>
              </c:numCache>
            </c:numRef>
          </c:cat>
          <c:val>
            <c:numRef>
              <c:f>Graphs!$C$47:$K$47</c:f>
              <c:numCache>
                <c:formatCode>_("$"* #,##0_);_("$"* \(#,##0\);_("$"* "-"??_);_(@_)</c:formatCode>
                <c:ptCount val="5"/>
                <c:pt idx="0">
                  <c:v>3200000</c:v>
                </c:pt>
                <c:pt idx="1">
                  <c:v>3600000</c:v>
                </c:pt>
                <c:pt idx="2">
                  <c:v>4300000</c:v>
                </c:pt>
                <c:pt idx="3">
                  <c:v>0</c:v>
                </c:pt>
                <c:pt idx="4">
                  <c:v>4425000</c:v>
                </c:pt>
              </c:numCache>
            </c:numRef>
          </c:val>
          <c:smooth val="0"/>
          <c:extLst>
            <c:ext xmlns:c16="http://schemas.microsoft.com/office/drawing/2014/chart" uri="{C3380CC4-5D6E-409C-BE32-E72D297353CC}">
              <c16:uniqueId val="{00000002-5CCC-4300-BEDD-27553666D535}"/>
            </c:ext>
          </c:extLst>
        </c:ser>
        <c:ser>
          <c:idx val="3"/>
          <c:order val="3"/>
          <c:tx>
            <c:strRef>
              <c:f>Graphs!$B$48</c:f>
              <c:strCache>
                <c:ptCount val="1"/>
                <c:pt idx="0">
                  <c:v> Equity Investments in CD Projects </c:v>
                </c:pt>
              </c:strCache>
            </c:strRef>
          </c:tx>
          <c:spPr>
            <a:ln w="12700">
              <a:solidFill>
                <a:srgbClr val="00FFFF"/>
              </a:solidFill>
              <a:prstDash val="solid"/>
            </a:ln>
          </c:spPr>
          <c:marker>
            <c:symbol val="x"/>
            <c:size val="5"/>
            <c:spPr>
              <a:noFill/>
              <a:ln>
                <a:solidFill>
                  <a:srgbClr val="00FFFF"/>
                </a:solidFill>
                <a:prstDash val="solid"/>
              </a:ln>
            </c:spPr>
          </c:marker>
          <c:cat>
            <c:numRef>
              <c:f>Graphs!$C$44:$K$44</c:f>
              <c:numCache>
                <c:formatCode>m/d/yyyy</c:formatCode>
                <c:ptCount val="5"/>
                <c:pt idx="0">
                  <c:v>40908</c:v>
                </c:pt>
                <c:pt idx="1">
                  <c:v>41274</c:v>
                </c:pt>
                <c:pt idx="2">
                  <c:v>41639</c:v>
                </c:pt>
                <c:pt idx="3">
                  <c:v>0</c:v>
                </c:pt>
                <c:pt idx="4">
                  <c:v>42004</c:v>
                </c:pt>
              </c:numCache>
            </c:numRef>
          </c:cat>
          <c:val>
            <c:numRef>
              <c:f>Graphs!$C$48:$K$48</c:f>
              <c:numCache>
                <c:formatCode>_("$"* #,##0_);_("$"* \(#,##0\);_("$"* "-"??_);_(@_)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5CCC-4300-BEDD-27553666D535}"/>
            </c:ext>
          </c:extLst>
        </c:ser>
        <c:ser>
          <c:idx val="4"/>
          <c:order val="4"/>
          <c:tx>
            <c:strRef>
              <c:f>Graphs!$B$49</c:f>
              <c:strCache>
                <c:ptCount val="1"/>
                <c:pt idx="0">
                  <c:v> Real Estate </c:v>
                </c:pt>
              </c:strCache>
            </c:strRef>
          </c:tx>
          <c:spPr>
            <a:ln w="12700">
              <a:solidFill>
                <a:srgbClr val="800080"/>
              </a:solidFill>
              <a:prstDash val="solid"/>
            </a:ln>
          </c:spPr>
          <c:marker>
            <c:symbol val="star"/>
            <c:size val="5"/>
            <c:spPr>
              <a:noFill/>
              <a:ln>
                <a:solidFill>
                  <a:srgbClr val="800080"/>
                </a:solidFill>
                <a:prstDash val="solid"/>
              </a:ln>
            </c:spPr>
          </c:marker>
          <c:cat>
            <c:numRef>
              <c:f>Graphs!$C$44:$K$44</c:f>
              <c:numCache>
                <c:formatCode>m/d/yyyy</c:formatCode>
                <c:ptCount val="5"/>
                <c:pt idx="0">
                  <c:v>40908</c:v>
                </c:pt>
                <c:pt idx="1">
                  <c:v>41274</c:v>
                </c:pt>
                <c:pt idx="2">
                  <c:v>41639</c:v>
                </c:pt>
                <c:pt idx="3">
                  <c:v>0</c:v>
                </c:pt>
                <c:pt idx="4">
                  <c:v>42004</c:v>
                </c:pt>
              </c:numCache>
            </c:numRef>
          </c:cat>
          <c:val>
            <c:numRef>
              <c:f>Graphs!$C$49:$K$49</c:f>
              <c:numCache>
                <c:formatCode>_("$"* #,##0_);_("$"* \(#,##0\);_("$"* "-"??_);_(@_)</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4-5CCC-4300-BEDD-27553666D535}"/>
            </c:ext>
          </c:extLst>
        </c:ser>
        <c:dLbls>
          <c:showLegendKey val="0"/>
          <c:showVal val="0"/>
          <c:showCatName val="0"/>
          <c:showSerName val="0"/>
          <c:showPercent val="0"/>
          <c:showBubbleSize val="0"/>
        </c:dLbls>
        <c:marker val="1"/>
        <c:smooth val="0"/>
        <c:axId val="321676720"/>
        <c:axId val="321676328"/>
      </c:lineChart>
      <c:dateAx>
        <c:axId val="321676720"/>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321676328"/>
        <c:crosses val="autoZero"/>
        <c:auto val="1"/>
        <c:lblOffset val="100"/>
        <c:baseTimeUnit val="years"/>
        <c:majorUnit val="2"/>
        <c:minorUnit val="1"/>
      </c:dateAx>
      <c:valAx>
        <c:axId val="321676328"/>
        <c:scaling>
          <c:orientation val="minMax"/>
          <c:max val="300000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321676720"/>
        <c:crosses val="autoZero"/>
        <c:crossBetween val="between"/>
        <c:majorUnit val="5000000"/>
      </c:valAx>
      <c:spPr>
        <a:noFill/>
        <a:ln w="12700">
          <a:solidFill>
            <a:srgbClr val="808080"/>
          </a:solidFill>
          <a:prstDash val="solid"/>
        </a:ln>
      </c:spPr>
    </c:plotArea>
    <c:legend>
      <c:legendPos val="r"/>
      <c:layout>
        <c:manualLayout>
          <c:xMode val="edge"/>
          <c:yMode val="edge"/>
          <c:wMode val="edge"/>
          <c:hMode val="edge"/>
          <c:x val="0.65122381441450783"/>
          <c:y val="0.20543840065968771"/>
          <c:w val="0.98200420599598959"/>
          <c:h val="0.9402753391458256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5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9.4076735079975257E-2"/>
          <c:y val="8.8122935086413612E-2"/>
          <c:w val="0.72299713070721727"/>
          <c:h val="0.75862352813520761"/>
        </c:manualLayout>
      </c:layout>
      <c:bar3DChart>
        <c:barDir val="col"/>
        <c:grouping val="clustered"/>
        <c:varyColors val="0"/>
        <c:ser>
          <c:idx val="0"/>
          <c:order val="0"/>
          <c:tx>
            <c:strRef>
              <c:f>Graphs!$B$92</c:f>
              <c:strCache>
                <c:ptCount val="1"/>
                <c:pt idx="0">
                  <c:v>31-60 Days</c:v>
                </c:pt>
              </c:strCache>
            </c:strRef>
          </c:tx>
          <c:spPr>
            <a:solidFill>
              <a:srgbClr val="9999FF"/>
            </a:solidFill>
            <a:ln w="12700">
              <a:solidFill>
                <a:srgbClr val="000000"/>
              </a:solidFill>
              <a:prstDash val="solid"/>
            </a:ln>
          </c:spPr>
          <c:invertIfNegative val="0"/>
          <c:cat>
            <c:numRef>
              <c:f>Graphs!$C$91:$K$91</c:f>
              <c:numCache>
                <c:formatCode>m/d/yyyy</c:formatCode>
                <c:ptCount val="5"/>
                <c:pt idx="0">
                  <c:v>40908</c:v>
                </c:pt>
                <c:pt idx="1">
                  <c:v>41274</c:v>
                </c:pt>
                <c:pt idx="2">
                  <c:v>41639</c:v>
                </c:pt>
                <c:pt idx="3">
                  <c:v>0</c:v>
                </c:pt>
                <c:pt idx="4">
                  <c:v>42004</c:v>
                </c:pt>
              </c:numCache>
            </c:numRef>
          </c:cat>
          <c:val>
            <c:numRef>
              <c:f>Graphs!$C$92:$K$92</c:f>
              <c:numCache>
                <c:formatCode>0%</c:formatCode>
                <c:ptCount val="5"/>
                <c:pt idx="0">
                  <c:v>2.8169014084507043E-2</c:v>
                </c:pt>
                <c:pt idx="1">
                  <c:v>3.7037037037037035E-2</c:v>
                </c:pt>
                <c:pt idx="2">
                  <c:v>1.0256410256410256E-2</c:v>
                </c:pt>
                <c:pt idx="3">
                  <c:v>0</c:v>
                </c:pt>
                <c:pt idx="4">
                  <c:v>1.9900497512437811E-2</c:v>
                </c:pt>
              </c:numCache>
            </c:numRef>
          </c:val>
          <c:extLst>
            <c:ext xmlns:c16="http://schemas.microsoft.com/office/drawing/2014/chart" uri="{C3380CC4-5D6E-409C-BE32-E72D297353CC}">
              <c16:uniqueId val="{00000000-AB72-408F-B04A-0A028347E69A}"/>
            </c:ext>
          </c:extLst>
        </c:ser>
        <c:ser>
          <c:idx val="1"/>
          <c:order val="1"/>
          <c:tx>
            <c:strRef>
              <c:f>Graphs!$B$93</c:f>
              <c:strCache>
                <c:ptCount val="1"/>
                <c:pt idx="0">
                  <c:v>61-90 Days</c:v>
                </c:pt>
              </c:strCache>
            </c:strRef>
          </c:tx>
          <c:spPr>
            <a:solidFill>
              <a:srgbClr val="993366"/>
            </a:solidFill>
            <a:ln w="12700">
              <a:solidFill>
                <a:srgbClr val="000000"/>
              </a:solidFill>
              <a:prstDash val="solid"/>
            </a:ln>
          </c:spPr>
          <c:invertIfNegative val="0"/>
          <c:cat>
            <c:numRef>
              <c:f>Graphs!$C$91:$K$91</c:f>
              <c:numCache>
                <c:formatCode>m/d/yyyy</c:formatCode>
                <c:ptCount val="5"/>
                <c:pt idx="0">
                  <c:v>40908</c:v>
                </c:pt>
                <c:pt idx="1">
                  <c:v>41274</c:v>
                </c:pt>
                <c:pt idx="2">
                  <c:v>41639</c:v>
                </c:pt>
                <c:pt idx="3">
                  <c:v>0</c:v>
                </c:pt>
                <c:pt idx="4">
                  <c:v>42004</c:v>
                </c:pt>
              </c:numCache>
            </c:numRef>
          </c:cat>
          <c:val>
            <c:numRef>
              <c:f>Graphs!$C$93:$K$93</c:f>
              <c:numCache>
                <c:formatCode>0%</c:formatCode>
                <c:ptCount val="5"/>
                <c:pt idx="0">
                  <c:v>1.4084507042253521E-2</c:v>
                </c:pt>
                <c:pt idx="1">
                  <c:v>0</c:v>
                </c:pt>
                <c:pt idx="2">
                  <c:v>2.0512820512820513E-2</c:v>
                </c:pt>
                <c:pt idx="3">
                  <c:v>0</c:v>
                </c:pt>
                <c:pt idx="4">
                  <c:v>9.9502487562189053E-3</c:v>
                </c:pt>
              </c:numCache>
            </c:numRef>
          </c:val>
          <c:extLst>
            <c:ext xmlns:c16="http://schemas.microsoft.com/office/drawing/2014/chart" uri="{C3380CC4-5D6E-409C-BE32-E72D297353CC}">
              <c16:uniqueId val="{00000001-AB72-408F-B04A-0A028347E69A}"/>
            </c:ext>
          </c:extLst>
        </c:ser>
        <c:ser>
          <c:idx val="2"/>
          <c:order val="2"/>
          <c:tx>
            <c:strRef>
              <c:f>Graphs!$B$94</c:f>
              <c:strCache>
                <c:ptCount val="1"/>
                <c:pt idx="0">
                  <c:v>&gt; 90 Days</c:v>
                </c:pt>
              </c:strCache>
            </c:strRef>
          </c:tx>
          <c:spPr>
            <a:solidFill>
              <a:srgbClr val="FFFFCC"/>
            </a:solidFill>
            <a:ln w="12700">
              <a:solidFill>
                <a:srgbClr val="000000"/>
              </a:solidFill>
              <a:prstDash val="solid"/>
            </a:ln>
          </c:spPr>
          <c:invertIfNegative val="0"/>
          <c:cat>
            <c:numRef>
              <c:f>Graphs!$C$91:$K$91</c:f>
              <c:numCache>
                <c:formatCode>m/d/yyyy</c:formatCode>
                <c:ptCount val="5"/>
                <c:pt idx="0">
                  <c:v>40908</c:v>
                </c:pt>
                <c:pt idx="1">
                  <c:v>41274</c:v>
                </c:pt>
                <c:pt idx="2">
                  <c:v>41639</c:v>
                </c:pt>
                <c:pt idx="3">
                  <c:v>0</c:v>
                </c:pt>
                <c:pt idx="4">
                  <c:v>42004</c:v>
                </c:pt>
              </c:numCache>
            </c:numRef>
          </c:cat>
          <c:val>
            <c:numRef>
              <c:f>Graphs!$C$94:$K$94</c:f>
              <c:numCache>
                <c:formatCode>0%</c:formatCode>
                <c:ptCount val="5"/>
                <c:pt idx="0">
                  <c:v>7.0422535211267607E-3</c:v>
                </c:pt>
                <c:pt idx="1">
                  <c:v>1.8518518518518517E-2</c:v>
                </c:pt>
                <c:pt idx="2">
                  <c:v>1.0256410256410256E-3</c:v>
                </c:pt>
                <c:pt idx="3">
                  <c:v>0</c:v>
                </c:pt>
                <c:pt idx="4">
                  <c:v>1.2935323383084577E-2</c:v>
                </c:pt>
              </c:numCache>
            </c:numRef>
          </c:val>
          <c:extLst>
            <c:ext xmlns:c16="http://schemas.microsoft.com/office/drawing/2014/chart" uri="{C3380CC4-5D6E-409C-BE32-E72D297353CC}">
              <c16:uniqueId val="{00000002-AB72-408F-B04A-0A028347E69A}"/>
            </c:ext>
          </c:extLst>
        </c:ser>
        <c:dLbls>
          <c:showLegendKey val="0"/>
          <c:showVal val="0"/>
          <c:showCatName val="0"/>
          <c:showSerName val="0"/>
          <c:showPercent val="0"/>
          <c:showBubbleSize val="0"/>
        </c:dLbls>
        <c:gapWidth val="150"/>
        <c:gapDepth val="0"/>
        <c:shape val="box"/>
        <c:axId val="320609448"/>
        <c:axId val="320609840"/>
        <c:axId val="0"/>
      </c:bar3DChart>
      <c:dateAx>
        <c:axId val="320609448"/>
        <c:scaling>
          <c:orientation val="minMax"/>
        </c:scaling>
        <c:delete val="0"/>
        <c:axPos val="b"/>
        <c:numFmt formatCode="mmm\-yy" sourceLinked="0"/>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320609840"/>
        <c:crosses val="autoZero"/>
        <c:auto val="1"/>
        <c:lblOffset val="100"/>
        <c:baseTimeUnit val="years"/>
        <c:majorUnit val="1"/>
        <c:minorUnit val="1"/>
      </c:dateAx>
      <c:valAx>
        <c:axId val="320609840"/>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20609448"/>
        <c:crosses val="autoZero"/>
        <c:crossBetween val="between"/>
      </c:valAx>
      <c:spPr>
        <a:noFill/>
        <a:ln w="25400">
          <a:noFill/>
        </a:ln>
      </c:spPr>
    </c:plotArea>
    <c:legend>
      <c:legendPos val="r"/>
      <c:layout>
        <c:manualLayout>
          <c:xMode val="edge"/>
          <c:yMode val="edge"/>
          <c:wMode val="edge"/>
          <c:hMode val="edge"/>
          <c:x val="0.83580912142080033"/>
          <c:y val="0.38144990496877673"/>
          <c:w val="0.98729951438996955"/>
          <c:h val="0.63312798543860183"/>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58"/>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0.16409266409266421"/>
          <c:y val="8.8122935086413612E-2"/>
          <c:w val="0.63320463320463616"/>
          <c:h val="0.69348918481046451"/>
        </c:manualLayout>
      </c:layout>
      <c:bar3DChart>
        <c:barDir val="col"/>
        <c:grouping val="clustered"/>
        <c:varyColors val="0"/>
        <c:ser>
          <c:idx val="0"/>
          <c:order val="0"/>
          <c:tx>
            <c:strRef>
              <c:f>Graphs!$B$71</c:f>
              <c:strCache>
                <c:ptCount val="1"/>
                <c:pt idx="0">
                  <c:v>31-60 Days</c:v>
                </c:pt>
              </c:strCache>
            </c:strRef>
          </c:tx>
          <c:spPr>
            <a:solidFill>
              <a:srgbClr val="9999FF"/>
            </a:solidFill>
            <a:ln w="12700">
              <a:solidFill>
                <a:srgbClr val="000000"/>
              </a:solidFill>
              <a:prstDash val="solid"/>
            </a:ln>
          </c:spPr>
          <c:invertIfNegative val="0"/>
          <c:cat>
            <c:numRef>
              <c:f>Graphs!$C$70:$K$70</c:f>
              <c:numCache>
                <c:formatCode>m/d/yyyy</c:formatCode>
                <c:ptCount val="5"/>
                <c:pt idx="0">
                  <c:v>40908</c:v>
                </c:pt>
                <c:pt idx="1">
                  <c:v>41274</c:v>
                </c:pt>
                <c:pt idx="2">
                  <c:v>41639</c:v>
                </c:pt>
                <c:pt idx="3">
                  <c:v>0</c:v>
                </c:pt>
                <c:pt idx="4">
                  <c:v>42004</c:v>
                </c:pt>
              </c:numCache>
            </c:numRef>
          </c:cat>
          <c:val>
            <c:numRef>
              <c:f>Graphs!$C$71:$K$71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019A-4D60-93C4-948A1D3B835E}"/>
            </c:ext>
          </c:extLst>
        </c:ser>
        <c:ser>
          <c:idx val="1"/>
          <c:order val="1"/>
          <c:tx>
            <c:strRef>
              <c:f>Graphs!$B$72</c:f>
              <c:strCache>
                <c:ptCount val="1"/>
                <c:pt idx="0">
                  <c:v>61-90 Days</c:v>
                </c:pt>
              </c:strCache>
            </c:strRef>
          </c:tx>
          <c:spPr>
            <a:solidFill>
              <a:srgbClr val="993366"/>
            </a:solidFill>
            <a:ln w="12700">
              <a:solidFill>
                <a:srgbClr val="000000"/>
              </a:solidFill>
              <a:prstDash val="solid"/>
            </a:ln>
          </c:spPr>
          <c:invertIfNegative val="0"/>
          <c:cat>
            <c:numRef>
              <c:f>Graphs!$C$70:$K$70</c:f>
              <c:numCache>
                <c:formatCode>m/d/yyyy</c:formatCode>
                <c:ptCount val="5"/>
                <c:pt idx="0">
                  <c:v>40908</c:v>
                </c:pt>
                <c:pt idx="1">
                  <c:v>41274</c:v>
                </c:pt>
                <c:pt idx="2">
                  <c:v>41639</c:v>
                </c:pt>
                <c:pt idx="3">
                  <c:v>0</c:v>
                </c:pt>
                <c:pt idx="4">
                  <c:v>42004</c:v>
                </c:pt>
              </c:numCache>
            </c:numRef>
          </c:cat>
          <c:val>
            <c:numRef>
              <c:f>Graphs!$C$72:$K$72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019A-4D60-93C4-948A1D3B835E}"/>
            </c:ext>
          </c:extLst>
        </c:ser>
        <c:ser>
          <c:idx val="2"/>
          <c:order val="2"/>
          <c:tx>
            <c:strRef>
              <c:f>Graphs!$B$73</c:f>
              <c:strCache>
                <c:ptCount val="1"/>
                <c:pt idx="0">
                  <c:v>&gt; 90 Days</c:v>
                </c:pt>
              </c:strCache>
            </c:strRef>
          </c:tx>
          <c:spPr>
            <a:solidFill>
              <a:srgbClr val="FFFFCC"/>
            </a:solidFill>
            <a:ln w="12700">
              <a:solidFill>
                <a:srgbClr val="000000"/>
              </a:solidFill>
              <a:prstDash val="solid"/>
            </a:ln>
          </c:spPr>
          <c:invertIfNegative val="0"/>
          <c:cat>
            <c:numRef>
              <c:f>Graphs!$C$70:$K$70</c:f>
              <c:numCache>
                <c:formatCode>m/d/yyyy</c:formatCode>
                <c:ptCount val="5"/>
                <c:pt idx="0">
                  <c:v>40908</c:v>
                </c:pt>
                <c:pt idx="1">
                  <c:v>41274</c:v>
                </c:pt>
                <c:pt idx="2">
                  <c:v>41639</c:v>
                </c:pt>
                <c:pt idx="3">
                  <c:v>0</c:v>
                </c:pt>
                <c:pt idx="4">
                  <c:v>42004</c:v>
                </c:pt>
              </c:numCache>
            </c:numRef>
          </c:cat>
          <c:val>
            <c:numRef>
              <c:f>Graphs!$C$73:$K$73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019A-4D60-93C4-948A1D3B835E}"/>
            </c:ext>
          </c:extLst>
        </c:ser>
        <c:dLbls>
          <c:showLegendKey val="0"/>
          <c:showVal val="0"/>
          <c:showCatName val="0"/>
          <c:showSerName val="0"/>
          <c:showPercent val="0"/>
          <c:showBubbleSize val="0"/>
        </c:dLbls>
        <c:gapWidth val="150"/>
        <c:gapDepth val="0"/>
        <c:shape val="box"/>
        <c:axId val="320610624"/>
        <c:axId val="320611016"/>
        <c:axId val="0"/>
      </c:bar3DChart>
      <c:dateAx>
        <c:axId val="320610624"/>
        <c:scaling>
          <c:orientation val="minMax"/>
        </c:scaling>
        <c:delete val="0"/>
        <c:axPos val="b"/>
        <c:numFmt formatCode="mmm\-yy" sourceLinked="0"/>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320611016"/>
        <c:crosses val="autoZero"/>
        <c:auto val="1"/>
        <c:lblOffset val="100"/>
        <c:baseTimeUnit val="years"/>
        <c:majorUnit val="2"/>
        <c:minorUnit val="1"/>
      </c:dateAx>
      <c:valAx>
        <c:axId val="320611016"/>
        <c:scaling>
          <c:orientation val="minMax"/>
          <c:max val="1000000"/>
        </c:scaling>
        <c:delete val="0"/>
        <c:axPos val="l"/>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20610624"/>
        <c:crosses val="autoZero"/>
        <c:crossBetween val="between"/>
        <c:majorUnit val="200000"/>
        <c:minorUnit val="50000"/>
      </c:valAx>
      <c:spPr>
        <a:noFill/>
        <a:ln w="25400">
          <a:noFill/>
        </a:ln>
      </c:spPr>
    </c:plotArea>
    <c:legend>
      <c:legendPos val="r"/>
      <c:layout>
        <c:manualLayout>
          <c:xMode val="edge"/>
          <c:yMode val="edge"/>
          <c:wMode val="edge"/>
          <c:hMode val="edge"/>
          <c:x val="0.81688099798336011"/>
          <c:y val="0.38322140766887075"/>
          <c:w val="0.98489202363218165"/>
          <c:h val="0.63606842248167594"/>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7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6.6793893129770993E-2"/>
          <c:y val="5.3640047443903556E-2"/>
          <c:w val="0.58587786259541985"/>
          <c:h val="0.79310641577771657"/>
        </c:manualLayout>
      </c:layout>
      <c:bar3DChart>
        <c:barDir val="col"/>
        <c:grouping val="clustered"/>
        <c:varyColors val="0"/>
        <c:ser>
          <c:idx val="0"/>
          <c:order val="0"/>
          <c:tx>
            <c:strRef>
              <c:f>Graphs!$B$116</c:f>
              <c:strCache>
                <c:ptCount val="1"/>
                <c:pt idx="0">
                  <c:v>Total Delinquencies &gt; 30 Days</c:v>
                </c:pt>
              </c:strCache>
            </c:strRef>
          </c:tx>
          <c:spPr>
            <a:solidFill>
              <a:srgbClr val="9999FF"/>
            </a:solidFill>
            <a:ln w="12700">
              <a:solidFill>
                <a:srgbClr val="000000"/>
              </a:solidFill>
              <a:prstDash val="solid"/>
            </a:ln>
          </c:spPr>
          <c:invertIfNegative val="0"/>
          <c:cat>
            <c:numRef>
              <c:f>Graphs!$C$115:$K$115</c:f>
              <c:numCache>
                <c:formatCode>m/d/yyyy</c:formatCode>
                <c:ptCount val="5"/>
                <c:pt idx="0">
                  <c:v>40908</c:v>
                </c:pt>
                <c:pt idx="1">
                  <c:v>41274</c:v>
                </c:pt>
                <c:pt idx="2">
                  <c:v>41639</c:v>
                </c:pt>
                <c:pt idx="3">
                  <c:v>0</c:v>
                </c:pt>
                <c:pt idx="4">
                  <c:v>42004</c:v>
                </c:pt>
              </c:numCache>
            </c:numRef>
          </c:cat>
          <c:val>
            <c:numRef>
              <c:f>Graphs!$C$116:$K$116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DEEB-4B44-9D26-9AF1142D48CA}"/>
            </c:ext>
          </c:extLst>
        </c:ser>
        <c:ser>
          <c:idx val="1"/>
          <c:order val="1"/>
          <c:tx>
            <c:strRef>
              <c:f>Graphs!$B$117</c:f>
              <c:strCache>
                <c:ptCount val="1"/>
                <c:pt idx="0">
                  <c:v> Loan Loss Reserve </c:v>
                </c:pt>
              </c:strCache>
            </c:strRef>
          </c:tx>
          <c:spPr>
            <a:solidFill>
              <a:srgbClr val="993366"/>
            </a:solidFill>
            <a:ln w="12700">
              <a:solidFill>
                <a:srgbClr val="000000"/>
              </a:solidFill>
              <a:prstDash val="solid"/>
            </a:ln>
          </c:spPr>
          <c:invertIfNegative val="0"/>
          <c:cat>
            <c:numRef>
              <c:f>Graphs!$C$115:$K$115</c:f>
              <c:numCache>
                <c:formatCode>m/d/yyyy</c:formatCode>
                <c:ptCount val="5"/>
                <c:pt idx="0">
                  <c:v>40908</c:v>
                </c:pt>
                <c:pt idx="1">
                  <c:v>41274</c:v>
                </c:pt>
                <c:pt idx="2">
                  <c:v>41639</c:v>
                </c:pt>
                <c:pt idx="3">
                  <c:v>0</c:v>
                </c:pt>
                <c:pt idx="4">
                  <c:v>42004</c:v>
                </c:pt>
              </c:numCache>
            </c:numRef>
          </c:cat>
          <c:val>
            <c:numRef>
              <c:f>Graphs!$C$117:$K$117</c:f>
              <c:numCache>
                <c:formatCode>"$"#,##0</c:formatCode>
                <c:ptCount val="5"/>
                <c:pt idx="0">
                  <c:v>350000</c:v>
                </c:pt>
                <c:pt idx="1">
                  <c:v>450000</c:v>
                </c:pt>
                <c:pt idx="2">
                  <c:v>575000</c:v>
                </c:pt>
                <c:pt idx="3">
                  <c:v>0</c:v>
                </c:pt>
                <c:pt idx="4">
                  <c:v>600000</c:v>
                </c:pt>
              </c:numCache>
            </c:numRef>
          </c:val>
          <c:extLst>
            <c:ext xmlns:c16="http://schemas.microsoft.com/office/drawing/2014/chart" uri="{C3380CC4-5D6E-409C-BE32-E72D297353CC}">
              <c16:uniqueId val="{00000001-DEEB-4B44-9D26-9AF1142D48CA}"/>
            </c:ext>
          </c:extLst>
        </c:ser>
        <c:ser>
          <c:idx val="2"/>
          <c:order val="2"/>
          <c:tx>
            <c:strRef>
              <c:f>Graphs!$B$118</c:f>
              <c:strCache>
                <c:ptCount val="1"/>
                <c:pt idx="0">
                  <c:v>Write-offs (net)</c:v>
                </c:pt>
              </c:strCache>
            </c:strRef>
          </c:tx>
          <c:spPr>
            <a:solidFill>
              <a:srgbClr val="FFFFCC"/>
            </a:solidFill>
            <a:ln w="12700">
              <a:solidFill>
                <a:srgbClr val="000000"/>
              </a:solidFill>
              <a:prstDash val="solid"/>
            </a:ln>
          </c:spPr>
          <c:invertIfNegative val="0"/>
          <c:cat>
            <c:numRef>
              <c:f>Graphs!$C$115:$K$115</c:f>
              <c:numCache>
                <c:formatCode>m/d/yyyy</c:formatCode>
                <c:ptCount val="5"/>
                <c:pt idx="0">
                  <c:v>40908</c:v>
                </c:pt>
                <c:pt idx="1">
                  <c:v>41274</c:v>
                </c:pt>
                <c:pt idx="2">
                  <c:v>41639</c:v>
                </c:pt>
                <c:pt idx="3">
                  <c:v>0</c:v>
                </c:pt>
                <c:pt idx="4">
                  <c:v>42004</c:v>
                </c:pt>
              </c:numCache>
            </c:numRef>
          </c:cat>
          <c:val>
            <c:numRef>
              <c:f>Graphs!$C$118:$K$118</c:f>
              <c:numCache>
                <c:formatCode>"$"#,##0</c:formatCode>
                <c:ptCount val="5"/>
                <c:pt idx="0">
                  <c:v>40000</c:v>
                </c:pt>
                <c:pt idx="1">
                  <c:v>2000</c:v>
                </c:pt>
                <c:pt idx="2">
                  <c:v>70000</c:v>
                </c:pt>
                <c:pt idx="3">
                  <c:v>0</c:v>
                </c:pt>
                <c:pt idx="4">
                  <c:v>30000</c:v>
                </c:pt>
              </c:numCache>
            </c:numRef>
          </c:val>
          <c:extLst>
            <c:ext xmlns:c16="http://schemas.microsoft.com/office/drawing/2014/chart" uri="{C3380CC4-5D6E-409C-BE32-E72D297353CC}">
              <c16:uniqueId val="{00000002-DEEB-4B44-9D26-9AF1142D48CA}"/>
            </c:ext>
          </c:extLst>
        </c:ser>
        <c:dLbls>
          <c:showLegendKey val="0"/>
          <c:showVal val="0"/>
          <c:showCatName val="0"/>
          <c:showSerName val="0"/>
          <c:showPercent val="0"/>
          <c:showBubbleSize val="0"/>
        </c:dLbls>
        <c:gapWidth val="150"/>
        <c:gapDepth val="0"/>
        <c:shape val="box"/>
        <c:axId val="318566048"/>
        <c:axId val="318567224"/>
        <c:axId val="0"/>
      </c:bar3DChart>
      <c:dateAx>
        <c:axId val="318566048"/>
        <c:scaling>
          <c:orientation val="minMax"/>
        </c:scaling>
        <c:delete val="0"/>
        <c:axPos val="b"/>
        <c:numFmt formatCode="yyyy" sourceLinked="0"/>
        <c:majorTickMark val="out"/>
        <c:minorTickMark val="none"/>
        <c:tickLblPos val="low"/>
        <c:spPr>
          <a:ln w="9525">
            <a:noFill/>
          </a:ln>
        </c:spPr>
        <c:txPr>
          <a:bodyPr rot="0" vert="horz"/>
          <a:lstStyle/>
          <a:p>
            <a:pPr>
              <a:defRPr sz="975" b="0" i="0" u="none" strike="noStrike" baseline="0">
                <a:solidFill>
                  <a:srgbClr val="000000"/>
                </a:solidFill>
                <a:latin typeface="Arial"/>
                <a:ea typeface="Arial"/>
                <a:cs typeface="Arial"/>
              </a:defRPr>
            </a:pPr>
            <a:endParaRPr lang="en-US"/>
          </a:p>
        </c:txPr>
        <c:crossAx val="318567224"/>
        <c:crosses val="autoZero"/>
        <c:auto val="1"/>
        <c:lblOffset val="100"/>
        <c:baseTimeUnit val="years"/>
        <c:majorUnit val="2"/>
        <c:minorUnit val="1"/>
      </c:dateAx>
      <c:valAx>
        <c:axId val="318567224"/>
        <c:scaling>
          <c:orientation val="minMax"/>
        </c:scaling>
        <c:delete val="0"/>
        <c:axPos val="l"/>
        <c:numFmt formatCode="&quot;$&quot;#,##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8566048"/>
        <c:crosses val="autoZero"/>
        <c:crossBetween val="between"/>
      </c:valAx>
      <c:spPr>
        <a:noFill/>
        <a:ln w="25400">
          <a:noFill/>
        </a:ln>
      </c:spPr>
    </c:plotArea>
    <c:legend>
      <c:legendPos val="r"/>
      <c:layout>
        <c:manualLayout>
          <c:xMode val="edge"/>
          <c:yMode val="edge"/>
          <c:wMode val="edge"/>
          <c:hMode val="edge"/>
          <c:x val="0.67253190679409658"/>
          <c:y val="0.28445289166440668"/>
          <c:w val="0.9830778786239508"/>
          <c:h val="0.72693516758681065"/>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71"/>
      <c:rotY val="20"/>
      <c:depthPercent val="500"/>
      <c:rAngAx val="1"/>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0.1028573341840289"/>
          <c:y val="5.3640047443903556E-2"/>
          <c:w val="0.55047721442934261"/>
          <c:h val="0.79310641577771657"/>
        </c:manualLayout>
      </c:layout>
      <c:bar3DChart>
        <c:barDir val="col"/>
        <c:grouping val="clustered"/>
        <c:varyColors val="0"/>
        <c:ser>
          <c:idx val="0"/>
          <c:order val="0"/>
          <c:tx>
            <c:strRef>
              <c:f>Graphs!$B$137</c:f>
              <c:strCache>
                <c:ptCount val="1"/>
                <c:pt idx="0">
                  <c:v>Total Delinquencies &gt; 30 Days</c:v>
                </c:pt>
              </c:strCache>
            </c:strRef>
          </c:tx>
          <c:spPr>
            <a:solidFill>
              <a:srgbClr val="9999FF"/>
            </a:solidFill>
            <a:ln w="12700">
              <a:solidFill>
                <a:srgbClr val="000000"/>
              </a:solidFill>
              <a:prstDash val="solid"/>
            </a:ln>
          </c:spPr>
          <c:invertIfNegative val="0"/>
          <c:cat>
            <c:numRef>
              <c:f>Graphs!$C$136:$K$136</c:f>
              <c:numCache>
                <c:formatCode>m/d/yyyy</c:formatCode>
                <c:ptCount val="5"/>
                <c:pt idx="0">
                  <c:v>40908</c:v>
                </c:pt>
                <c:pt idx="1">
                  <c:v>41274</c:v>
                </c:pt>
                <c:pt idx="2">
                  <c:v>41639</c:v>
                </c:pt>
                <c:pt idx="3">
                  <c:v>0</c:v>
                </c:pt>
                <c:pt idx="4">
                  <c:v>42004</c:v>
                </c:pt>
              </c:numCache>
            </c:numRef>
          </c:cat>
          <c:val>
            <c:numRef>
              <c:f>Graphs!$C$137:$K$137</c:f>
              <c:numCache>
                <c:formatCode>0%</c:formatCode>
                <c:ptCount val="5"/>
                <c:pt idx="0">
                  <c:v>4.9295774647887321E-2</c:v>
                </c:pt>
                <c:pt idx="1">
                  <c:v>5.5555555555555552E-2</c:v>
                </c:pt>
                <c:pt idx="2">
                  <c:v>3.1794871794871796E-2</c:v>
                </c:pt>
                <c:pt idx="3">
                  <c:v>0</c:v>
                </c:pt>
                <c:pt idx="4">
                  <c:v>4.2786069651741296E-2</c:v>
                </c:pt>
              </c:numCache>
            </c:numRef>
          </c:val>
          <c:extLst>
            <c:ext xmlns:c16="http://schemas.microsoft.com/office/drawing/2014/chart" uri="{C3380CC4-5D6E-409C-BE32-E72D297353CC}">
              <c16:uniqueId val="{00000000-419C-4161-9BFA-B81327241411}"/>
            </c:ext>
          </c:extLst>
        </c:ser>
        <c:ser>
          <c:idx val="1"/>
          <c:order val="1"/>
          <c:tx>
            <c:strRef>
              <c:f>Graphs!$B$138</c:f>
              <c:strCache>
                <c:ptCount val="1"/>
                <c:pt idx="0">
                  <c:v> Loan Loss Reserve </c:v>
                </c:pt>
              </c:strCache>
            </c:strRef>
          </c:tx>
          <c:spPr>
            <a:solidFill>
              <a:srgbClr val="993366"/>
            </a:solidFill>
            <a:ln w="12700">
              <a:solidFill>
                <a:srgbClr val="000000"/>
              </a:solidFill>
              <a:prstDash val="solid"/>
            </a:ln>
          </c:spPr>
          <c:invertIfNegative val="0"/>
          <c:cat>
            <c:numRef>
              <c:f>Graphs!$C$136:$K$136</c:f>
              <c:numCache>
                <c:formatCode>m/d/yyyy</c:formatCode>
                <c:ptCount val="5"/>
                <c:pt idx="0">
                  <c:v>40908</c:v>
                </c:pt>
                <c:pt idx="1">
                  <c:v>41274</c:v>
                </c:pt>
                <c:pt idx="2">
                  <c:v>41639</c:v>
                </c:pt>
                <c:pt idx="3">
                  <c:v>0</c:v>
                </c:pt>
                <c:pt idx="4">
                  <c:v>42004</c:v>
                </c:pt>
              </c:numCache>
            </c:numRef>
          </c:cat>
          <c:val>
            <c:numRef>
              <c:f>Graphs!$C$138:$K$138</c:f>
              <c:numCache>
                <c:formatCode>0%</c:formatCode>
                <c:ptCount val="5"/>
                <c:pt idx="0">
                  <c:v>9.8591549295774641E-2</c:v>
                </c:pt>
                <c:pt idx="1">
                  <c:v>0.1111111111111111</c:v>
                </c:pt>
                <c:pt idx="2">
                  <c:v>0.11794871794871795</c:v>
                </c:pt>
                <c:pt idx="3">
                  <c:v>0</c:v>
                </c:pt>
                <c:pt idx="4">
                  <c:v>0.11940298507462686</c:v>
                </c:pt>
              </c:numCache>
            </c:numRef>
          </c:val>
          <c:extLst>
            <c:ext xmlns:c16="http://schemas.microsoft.com/office/drawing/2014/chart" uri="{C3380CC4-5D6E-409C-BE32-E72D297353CC}">
              <c16:uniqueId val="{00000001-419C-4161-9BFA-B81327241411}"/>
            </c:ext>
          </c:extLst>
        </c:ser>
        <c:ser>
          <c:idx val="2"/>
          <c:order val="2"/>
          <c:tx>
            <c:strRef>
              <c:f>Graphs!$B$139</c:f>
              <c:strCache>
                <c:ptCount val="1"/>
                <c:pt idx="0">
                  <c:v>Write-offs (net)</c:v>
                </c:pt>
              </c:strCache>
            </c:strRef>
          </c:tx>
          <c:spPr>
            <a:solidFill>
              <a:srgbClr val="FFFFCC"/>
            </a:solidFill>
            <a:ln w="12700">
              <a:solidFill>
                <a:srgbClr val="000000"/>
              </a:solidFill>
              <a:prstDash val="solid"/>
            </a:ln>
          </c:spPr>
          <c:invertIfNegative val="0"/>
          <c:cat>
            <c:numRef>
              <c:f>Graphs!$C$136:$K$136</c:f>
              <c:numCache>
                <c:formatCode>m/d/yyyy</c:formatCode>
                <c:ptCount val="5"/>
                <c:pt idx="0">
                  <c:v>40908</c:v>
                </c:pt>
                <c:pt idx="1">
                  <c:v>41274</c:v>
                </c:pt>
                <c:pt idx="2">
                  <c:v>41639</c:v>
                </c:pt>
                <c:pt idx="3">
                  <c:v>0</c:v>
                </c:pt>
                <c:pt idx="4">
                  <c:v>42004</c:v>
                </c:pt>
              </c:numCache>
            </c:numRef>
          </c:cat>
          <c:val>
            <c:numRef>
              <c:f>Graphs!$C$139:$K$139</c:f>
              <c:numCache>
                <c:formatCode>0%</c:formatCode>
                <c:ptCount val="5"/>
                <c:pt idx="0">
                  <c:v>1.1267605633802818E-2</c:v>
                </c:pt>
                <c:pt idx="1">
                  <c:v>4.9382716049382717E-4</c:v>
                </c:pt>
                <c:pt idx="2">
                  <c:v>1.4358974358974359E-2</c:v>
                </c:pt>
                <c:pt idx="3">
                  <c:v>0</c:v>
                </c:pt>
                <c:pt idx="4">
                  <c:v>5.9701492537313433E-3</c:v>
                </c:pt>
              </c:numCache>
            </c:numRef>
          </c:val>
          <c:extLst>
            <c:ext xmlns:c16="http://schemas.microsoft.com/office/drawing/2014/chart" uri="{C3380CC4-5D6E-409C-BE32-E72D297353CC}">
              <c16:uniqueId val="{00000002-419C-4161-9BFA-B81327241411}"/>
            </c:ext>
          </c:extLst>
        </c:ser>
        <c:dLbls>
          <c:showLegendKey val="0"/>
          <c:showVal val="0"/>
          <c:showCatName val="0"/>
          <c:showSerName val="0"/>
          <c:showPercent val="0"/>
          <c:showBubbleSize val="0"/>
        </c:dLbls>
        <c:gapWidth val="150"/>
        <c:gapDepth val="0"/>
        <c:shape val="box"/>
        <c:axId val="345615192"/>
        <c:axId val="345615584"/>
        <c:axId val="0"/>
      </c:bar3DChart>
      <c:dateAx>
        <c:axId val="345615192"/>
        <c:scaling>
          <c:orientation val="minMax"/>
        </c:scaling>
        <c:delete val="0"/>
        <c:axPos val="b"/>
        <c:numFmt formatCode="yyyy" sourceLinked="0"/>
        <c:majorTickMark val="out"/>
        <c:minorTickMark val="none"/>
        <c:tickLblPos val="low"/>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345615584"/>
        <c:crosses val="autoZero"/>
        <c:auto val="1"/>
        <c:lblOffset val="100"/>
        <c:baseTimeUnit val="years"/>
        <c:majorUnit val="2"/>
        <c:minorUnit val="1"/>
      </c:dateAx>
      <c:valAx>
        <c:axId val="345615584"/>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45615192"/>
        <c:crosses val="autoZero"/>
        <c:crossBetween val="between"/>
      </c:valAx>
      <c:spPr>
        <a:noFill/>
        <a:ln w="25400">
          <a:noFill/>
        </a:ln>
      </c:spPr>
    </c:plotArea>
    <c:legend>
      <c:legendPos val="r"/>
      <c:layout>
        <c:manualLayout>
          <c:xMode val="edge"/>
          <c:yMode val="edge"/>
          <c:wMode val="edge"/>
          <c:hMode val="edge"/>
          <c:x val="0.67483144606924483"/>
          <c:y val="0.28445289166440668"/>
          <c:w val="0.98468371453568293"/>
          <c:h val="0.72693516758681065"/>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44" r="0.75000000000000244"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ahoma"/>
                <a:ea typeface="Tahoma"/>
                <a:cs typeface="Tahoma"/>
              </a:defRPr>
            </a:pPr>
            <a:r>
              <a:t>Trends in Unrestricted Revenues</a:t>
            </a:r>
          </a:p>
        </c:rich>
      </c:tx>
      <c:layout>
        <c:manualLayout>
          <c:xMode val="edge"/>
          <c:yMode val="edge"/>
          <c:x val="0.32007635409210328"/>
          <c:y val="3.8314176245210725E-2"/>
        </c:manualLayout>
      </c:layout>
      <c:overlay val="0"/>
      <c:spPr>
        <a:noFill/>
        <a:ln w="25400">
          <a:noFill/>
        </a:ln>
      </c:spPr>
    </c:title>
    <c:autoTitleDeleted val="0"/>
    <c:plotArea>
      <c:layout>
        <c:manualLayout>
          <c:layoutTarget val="inner"/>
          <c:xMode val="edge"/>
          <c:yMode val="edge"/>
          <c:x val="7.7651658772155296E-2"/>
          <c:y val="0.23371734957700985"/>
          <c:w val="0.54924344009573289"/>
          <c:h val="0.59387195384321811"/>
        </c:manualLayout>
      </c:layout>
      <c:lineChart>
        <c:grouping val="standard"/>
        <c:varyColors val="0"/>
        <c:ser>
          <c:idx val="0"/>
          <c:order val="0"/>
          <c:tx>
            <c:strRef>
              <c:f>Graphs!$B$161</c:f>
              <c:strCache>
                <c:ptCount val="1"/>
                <c:pt idx="0">
                  <c:v> Net Financing Income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Graphs!$C$160:$I$160</c:f>
              <c:numCache>
                <c:formatCode>m/d/yyyy</c:formatCode>
                <c:ptCount val="4"/>
                <c:pt idx="0">
                  <c:v>40908</c:v>
                </c:pt>
                <c:pt idx="1">
                  <c:v>41274</c:v>
                </c:pt>
                <c:pt idx="2">
                  <c:v>41639</c:v>
                </c:pt>
                <c:pt idx="3">
                  <c:v>0</c:v>
                </c:pt>
              </c:numCache>
            </c:numRef>
          </c:cat>
          <c:val>
            <c:numRef>
              <c:f>Graphs!$C$161:$I$161</c:f>
              <c:numCache>
                <c:formatCode>"$"#,##0</c:formatCode>
                <c:ptCount val="4"/>
                <c:pt idx="0">
                  <c:v>-69600</c:v>
                </c:pt>
                <c:pt idx="1">
                  <c:v>-84250</c:v>
                </c:pt>
                <c:pt idx="2">
                  <c:v>-124000</c:v>
                </c:pt>
                <c:pt idx="3">
                  <c:v>0</c:v>
                </c:pt>
              </c:numCache>
            </c:numRef>
          </c:val>
          <c:smooth val="0"/>
          <c:extLst>
            <c:ext xmlns:c16="http://schemas.microsoft.com/office/drawing/2014/chart" uri="{C3380CC4-5D6E-409C-BE32-E72D297353CC}">
              <c16:uniqueId val="{00000000-D2F1-49A6-8BA9-2E963B5D104F}"/>
            </c:ext>
          </c:extLst>
        </c:ser>
        <c:ser>
          <c:idx val="1"/>
          <c:order val="1"/>
          <c:tx>
            <c:strRef>
              <c:f>Graphs!$B$162</c:f>
              <c:strCache>
                <c:ptCount val="1"/>
                <c:pt idx="0">
                  <c:v> Total Fee Income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Graphs!$C$160:$I$160</c:f>
              <c:numCache>
                <c:formatCode>m/d/yyyy</c:formatCode>
                <c:ptCount val="4"/>
                <c:pt idx="0">
                  <c:v>40908</c:v>
                </c:pt>
                <c:pt idx="1">
                  <c:v>41274</c:v>
                </c:pt>
                <c:pt idx="2">
                  <c:v>41639</c:v>
                </c:pt>
                <c:pt idx="3">
                  <c:v>0</c:v>
                </c:pt>
              </c:numCache>
            </c:numRef>
          </c:cat>
          <c:val>
            <c:numRef>
              <c:f>Graphs!$C$162:$I$162</c:f>
              <c:numCache>
                <c:formatCode>"$"#,##0</c:formatCode>
                <c:ptCount val="4"/>
                <c:pt idx="0">
                  <c:v>275000</c:v>
                </c:pt>
                <c:pt idx="1">
                  <c:v>415000</c:v>
                </c:pt>
                <c:pt idx="2">
                  <c:v>543000</c:v>
                </c:pt>
                <c:pt idx="3">
                  <c:v>0</c:v>
                </c:pt>
              </c:numCache>
            </c:numRef>
          </c:val>
          <c:smooth val="0"/>
          <c:extLst>
            <c:ext xmlns:c16="http://schemas.microsoft.com/office/drawing/2014/chart" uri="{C3380CC4-5D6E-409C-BE32-E72D297353CC}">
              <c16:uniqueId val="{00000001-D2F1-49A6-8BA9-2E963B5D104F}"/>
            </c:ext>
          </c:extLst>
        </c:ser>
        <c:ser>
          <c:idx val="2"/>
          <c:order val="2"/>
          <c:tx>
            <c:strRef>
              <c:f>Graphs!$B$163</c:f>
              <c:strCache>
                <c:ptCount val="1"/>
                <c:pt idx="0">
                  <c:v> Total Contributed Revenues </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numRef>
              <c:f>Graphs!$C$160:$I$160</c:f>
              <c:numCache>
                <c:formatCode>m/d/yyyy</c:formatCode>
                <c:ptCount val="4"/>
                <c:pt idx="0">
                  <c:v>40908</c:v>
                </c:pt>
                <c:pt idx="1">
                  <c:v>41274</c:v>
                </c:pt>
                <c:pt idx="2">
                  <c:v>41639</c:v>
                </c:pt>
                <c:pt idx="3">
                  <c:v>0</c:v>
                </c:pt>
              </c:numCache>
            </c:numRef>
          </c:cat>
          <c:val>
            <c:numRef>
              <c:f>Graphs!$C$163:$I$163</c:f>
              <c:numCache>
                <c:formatCode>"$"#,##0</c:formatCode>
                <c:ptCount val="4"/>
                <c:pt idx="0">
                  <c:v>300000</c:v>
                </c:pt>
                <c:pt idx="1">
                  <c:v>547000</c:v>
                </c:pt>
                <c:pt idx="2">
                  <c:v>350000</c:v>
                </c:pt>
                <c:pt idx="3">
                  <c:v>0</c:v>
                </c:pt>
              </c:numCache>
            </c:numRef>
          </c:val>
          <c:smooth val="0"/>
          <c:extLst>
            <c:ext xmlns:c16="http://schemas.microsoft.com/office/drawing/2014/chart" uri="{C3380CC4-5D6E-409C-BE32-E72D297353CC}">
              <c16:uniqueId val="{00000002-D2F1-49A6-8BA9-2E963B5D104F}"/>
            </c:ext>
          </c:extLst>
        </c:ser>
        <c:dLbls>
          <c:showLegendKey val="0"/>
          <c:showVal val="0"/>
          <c:showCatName val="0"/>
          <c:showSerName val="0"/>
          <c:showPercent val="0"/>
          <c:showBubbleSize val="0"/>
        </c:dLbls>
        <c:marker val="1"/>
        <c:smooth val="0"/>
        <c:axId val="345616368"/>
        <c:axId val="345800624"/>
      </c:lineChart>
      <c:dateAx>
        <c:axId val="345616368"/>
        <c:scaling>
          <c:orientation val="minMax"/>
        </c:scaling>
        <c:delete val="0"/>
        <c:axPos val="b"/>
        <c:numFmt formatCode="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0624"/>
        <c:crosses val="autoZero"/>
        <c:auto val="1"/>
        <c:lblOffset val="100"/>
        <c:baseTimeUnit val="years"/>
        <c:majorUnit val="1"/>
        <c:minorUnit val="1"/>
      </c:dateAx>
      <c:valAx>
        <c:axId val="345800624"/>
        <c:scaling>
          <c:orientation val="minMax"/>
        </c:scaling>
        <c:delete val="0"/>
        <c:axPos val="l"/>
        <c:majorGridlines>
          <c:spPr>
            <a:ln w="3175">
              <a:solidFill>
                <a:srgbClr val="000000"/>
              </a:solidFill>
              <a:prstDash val="solid"/>
            </a:ln>
          </c:spPr>
        </c:majorGridlines>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616368"/>
        <c:crosses val="autoZero"/>
        <c:crossBetween val="between"/>
      </c:valAx>
      <c:spPr>
        <a:noFill/>
        <a:ln w="12700">
          <a:solidFill>
            <a:srgbClr val="808080"/>
          </a:solidFill>
          <a:prstDash val="solid"/>
        </a:ln>
      </c:spPr>
    </c:plotArea>
    <c:legend>
      <c:legendPos val="r"/>
      <c:layout>
        <c:manualLayout>
          <c:xMode val="edge"/>
          <c:yMode val="edge"/>
          <c:wMode val="edge"/>
          <c:hMode val="edge"/>
          <c:x val="0.67750218722659672"/>
          <c:y val="0.31210828531491297"/>
          <c:w val="0.9859739123518656"/>
          <c:h val="0.75459056123731649"/>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ahoma"/>
                <a:ea typeface="Tahoma"/>
                <a:cs typeface="Tahoma"/>
              </a:defRPr>
            </a:pPr>
            <a:r>
              <a:t>Expenses</a:t>
            </a:r>
          </a:p>
        </c:rich>
      </c:tx>
      <c:layout>
        <c:manualLayout>
          <c:xMode val="edge"/>
          <c:yMode val="edge"/>
          <c:x val="0.4450988626421698"/>
          <c:y val="3.8314176245210725E-2"/>
        </c:manualLayout>
      </c:layout>
      <c:overlay val="0"/>
      <c:spPr>
        <a:noFill/>
        <a:ln w="25400">
          <a:noFill/>
        </a:ln>
      </c:spPr>
    </c:title>
    <c:autoTitleDeleted val="0"/>
    <c:plotArea>
      <c:layout>
        <c:manualLayout>
          <c:layoutTarget val="inner"/>
          <c:xMode val="edge"/>
          <c:yMode val="edge"/>
          <c:x val="7.4509946595332791E-2"/>
          <c:y val="0.23371734957700985"/>
          <c:w val="0.53137356650882073"/>
          <c:h val="0.59387195384321811"/>
        </c:manualLayout>
      </c:layout>
      <c:lineChart>
        <c:grouping val="standard"/>
        <c:varyColors val="0"/>
        <c:ser>
          <c:idx val="0"/>
          <c:order val="0"/>
          <c:tx>
            <c:strRef>
              <c:f>Graphs!$B$184</c:f>
              <c:strCache>
                <c:ptCount val="1"/>
                <c:pt idx="0">
                  <c:v> Personnel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Graphs!$C$183:$K$183</c:f>
              <c:numCache>
                <c:formatCode>m/d/yyyy</c:formatCode>
                <c:ptCount val="5"/>
                <c:pt idx="0">
                  <c:v>40908</c:v>
                </c:pt>
                <c:pt idx="1">
                  <c:v>41274</c:v>
                </c:pt>
                <c:pt idx="2">
                  <c:v>41639</c:v>
                </c:pt>
                <c:pt idx="3">
                  <c:v>0</c:v>
                </c:pt>
                <c:pt idx="4">
                  <c:v>42004</c:v>
                </c:pt>
              </c:numCache>
            </c:numRef>
          </c:cat>
          <c:val>
            <c:numRef>
              <c:f>Graphs!$C$184:$I$184</c:f>
              <c:numCache>
                <c:formatCode>#,##0</c:formatCode>
                <c:ptCount val="4"/>
                <c:pt idx="0">
                  <c:v>225000</c:v>
                </c:pt>
                <c:pt idx="1">
                  <c:v>325000</c:v>
                </c:pt>
                <c:pt idx="2">
                  <c:v>400000</c:v>
                </c:pt>
                <c:pt idx="3">
                  <c:v>0</c:v>
                </c:pt>
              </c:numCache>
            </c:numRef>
          </c:val>
          <c:smooth val="0"/>
          <c:extLst>
            <c:ext xmlns:c16="http://schemas.microsoft.com/office/drawing/2014/chart" uri="{C3380CC4-5D6E-409C-BE32-E72D297353CC}">
              <c16:uniqueId val="{00000000-39A6-43CE-BA47-59F814B94648}"/>
            </c:ext>
          </c:extLst>
        </c:ser>
        <c:ser>
          <c:idx val="1"/>
          <c:order val="1"/>
          <c:tx>
            <c:strRef>
              <c:f>Graphs!$B$185</c:f>
              <c:strCache>
                <c:ptCount val="1"/>
                <c:pt idx="0">
                  <c:v> Professional Services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Graphs!$C$183:$K$183</c:f>
              <c:numCache>
                <c:formatCode>m/d/yyyy</c:formatCode>
                <c:ptCount val="5"/>
                <c:pt idx="0">
                  <c:v>40908</c:v>
                </c:pt>
                <c:pt idx="1">
                  <c:v>41274</c:v>
                </c:pt>
                <c:pt idx="2">
                  <c:v>41639</c:v>
                </c:pt>
                <c:pt idx="3">
                  <c:v>0</c:v>
                </c:pt>
                <c:pt idx="4">
                  <c:v>42004</c:v>
                </c:pt>
              </c:numCache>
            </c:numRef>
          </c:cat>
          <c:val>
            <c:numRef>
              <c:f>Graphs!$C$185:$K$185</c:f>
              <c:numCache>
                <c:formatCode>#,##0</c:formatCode>
                <c:ptCount val="5"/>
                <c:pt idx="0">
                  <c:v>75000</c:v>
                </c:pt>
                <c:pt idx="1">
                  <c:v>100000</c:v>
                </c:pt>
                <c:pt idx="2">
                  <c:v>150000</c:v>
                </c:pt>
                <c:pt idx="3">
                  <c:v>0</c:v>
                </c:pt>
                <c:pt idx="4">
                  <c:v>155000</c:v>
                </c:pt>
              </c:numCache>
            </c:numRef>
          </c:val>
          <c:smooth val="0"/>
          <c:extLst>
            <c:ext xmlns:c16="http://schemas.microsoft.com/office/drawing/2014/chart" uri="{C3380CC4-5D6E-409C-BE32-E72D297353CC}">
              <c16:uniqueId val="{00000001-39A6-43CE-BA47-59F814B94648}"/>
            </c:ext>
          </c:extLst>
        </c:ser>
        <c:ser>
          <c:idx val="2"/>
          <c:order val="2"/>
          <c:tx>
            <c:strRef>
              <c:f>Graphs!$B$186</c:f>
              <c:strCache>
                <c:ptCount val="1"/>
                <c:pt idx="0">
                  <c:v> Depreciation </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numRef>
              <c:f>Graphs!$C$183:$K$183</c:f>
              <c:numCache>
                <c:formatCode>m/d/yyyy</c:formatCode>
                <c:ptCount val="5"/>
                <c:pt idx="0">
                  <c:v>40908</c:v>
                </c:pt>
                <c:pt idx="1">
                  <c:v>41274</c:v>
                </c:pt>
                <c:pt idx="2">
                  <c:v>41639</c:v>
                </c:pt>
                <c:pt idx="3">
                  <c:v>0</c:v>
                </c:pt>
                <c:pt idx="4">
                  <c:v>42004</c:v>
                </c:pt>
              </c:numCache>
            </c:numRef>
          </c:cat>
          <c:val>
            <c:numRef>
              <c:f>Graphs!$C$186:$K$186</c:f>
              <c:numCache>
                <c:formatCode>#,##0</c:formatCode>
                <c:ptCount val="5"/>
                <c:pt idx="0">
                  <c:v>7500</c:v>
                </c:pt>
                <c:pt idx="1">
                  <c:v>8750</c:v>
                </c:pt>
                <c:pt idx="2">
                  <c:v>10000</c:v>
                </c:pt>
                <c:pt idx="3">
                  <c:v>0</c:v>
                </c:pt>
                <c:pt idx="4">
                  <c:v>10020</c:v>
                </c:pt>
              </c:numCache>
            </c:numRef>
          </c:val>
          <c:smooth val="0"/>
          <c:extLst>
            <c:ext xmlns:c16="http://schemas.microsoft.com/office/drawing/2014/chart" uri="{C3380CC4-5D6E-409C-BE32-E72D297353CC}">
              <c16:uniqueId val="{00000002-39A6-43CE-BA47-59F814B94648}"/>
            </c:ext>
          </c:extLst>
        </c:ser>
        <c:ser>
          <c:idx val="3"/>
          <c:order val="3"/>
          <c:tx>
            <c:strRef>
              <c:f>Graphs!$B$187</c:f>
              <c:strCache>
                <c:ptCount val="1"/>
                <c:pt idx="0">
                  <c:v> Other Operating Expense </c:v>
                </c:pt>
              </c:strCache>
            </c:strRef>
          </c:tx>
          <c:spPr>
            <a:ln w="12700">
              <a:solidFill>
                <a:srgbClr val="00FFFF"/>
              </a:solidFill>
              <a:prstDash val="solid"/>
            </a:ln>
          </c:spPr>
          <c:marker>
            <c:symbol val="x"/>
            <c:size val="5"/>
            <c:spPr>
              <a:noFill/>
              <a:ln>
                <a:solidFill>
                  <a:srgbClr val="00FFFF"/>
                </a:solidFill>
                <a:prstDash val="solid"/>
              </a:ln>
            </c:spPr>
          </c:marker>
          <c:cat>
            <c:numRef>
              <c:f>Graphs!$C$183:$K$183</c:f>
              <c:numCache>
                <c:formatCode>m/d/yyyy</c:formatCode>
                <c:ptCount val="5"/>
                <c:pt idx="0">
                  <c:v>40908</c:v>
                </c:pt>
                <c:pt idx="1">
                  <c:v>41274</c:v>
                </c:pt>
                <c:pt idx="2">
                  <c:v>41639</c:v>
                </c:pt>
                <c:pt idx="3">
                  <c:v>0</c:v>
                </c:pt>
                <c:pt idx="4">
                  <c:v>42004</c:v>
                </c:pt>
              </c:numCache>
            </c:numRef>
          </c:cat>
          <c:val>
            <c:numRef>
              <c:f>Graphs!$C$187:$K$187</c:f>
              <c:numCache>
                <c:formatCode>#,##0</c:formatCode>
                <c:ptCount val="5"/>
                <c:pt idx="0">
                  <c:v>160000</c:v>
                </c:pt>
                <c:pt idx="1">
                  <c:v>180000</c:v>
                </c:pt>
                <c:pt idx="2">
                  <c:v>300000</c:v>
                </c:pt>
                <c:pt idx="3">
                  <c:v>0</c:v>
                </c:pt>
                <c:pt idx="4">
                  <c:v>385350</c:v>
                </c:pt>
              </c:numCache>
            </c:numRef>
          </c:val>
          <c:smooth val="0"/>
          <c:extLst>
            <c:ext xmlns:c16="http://schemas.microsoft.com/office/drawing/2014/chart" uri="{C3380CC4-5D6E-409C-BE32-E72D297353CC}">
              <c16:uniqueId val="{00000003-39A6-43CE-BA47-59F814B94648}"/>
            </c:ext>
          </c:extLst>
        </c:ser>
        <c:dLbls>
          <c:showLegendKey val="0"/>
          <c:showVal val="0"/>
          <c:showCatName val="0"/>
          <c:showSerName val="0"/>
          <c:showPercent val="0"/>
          <c:showBubbleSize val="0"/>
        </c:dLbls>
        <c:marker val="1"/>
        <c:smooth val="0"/>
        <c:axId val="345801408"/>
        <c:axId val="345801800"/>
      </c:lineChart>
      <c:dateAx>
        <c:axId val="345801408"/>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1800"/>
        <c:crosses val="autoZero"/>
        <c:auto val="1"/>
        <c:lblOffset val="100"/>
        <c:baseTimeUnit val="years"/>
        <c:majorUnit val="1"/>
        <c:minorUnit val="1"/>
      </c:dateAx>
      <c:valAx>
        <c:axId val="34580180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1408"/>
        <c:crosses val="autoZero"/>
        <c:crossBetween val="between"/>
      </c:valAx>
      <c:spPr>
        <a:noFill/>
        <a:ln w="12700">
          <a:solidFill>
            <a:srgbClr val="808080"/>
          </a:solidFill>
          <a:prstDash val="solid"/>
        </a:ln>
      </c:spPr>
    </c:plotArea>
    <c:legend>
      <c:legendPos val="r"/>
      <c:layout>
        <c:manualLayout>
          <c:xMode val="edge"/>
          <c:yMode val="edge"/>
          <c:wMode val="edge"/>
          <c:hMode val="edge"/>
          <c:x val="0.67350048890947722"/>
          <c:y val="0.24099476071238318"/>
          <c:w val="0.98675642015336318"/>
          <c:h val="0.82965416679236936"/>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ahoma"/>
                <a:ea typeface="Tahoma"/>
                <a:cs typeface="Tahoma"/>
              </a:defRPr>
            </a:pPr>
            <a:r>
              <a:t>Unrestricted Revenue vs. Expenses</a:t>
            </a:r>
          </a:p>
        </c:rich>
      </c:tx>
      <c:layout>
        <c:manualLayout>
          <c:xMode val="edge"/>
          <c:yMode val="edge"/>
          <c:x val="0.21832399605020192"/>
          <c:y val="3.8167938931297704E-2"/>
        </c:manualLayout>
      </c:layout>
      <c:overlay val="0"/>
      <c:spPr>
        <a:noFill/>
        <a:ln w="25400">
          <a:noFill/>
        </a:ln>
      </c:spPr>
    </c:title>
    <c:autoTitleDeleted val="0"/>
    <c:plotArea>
      <c:layout>
        <c:manualLayout>
          <c:layoutTarget val="inner"/>
          <c:xMode val="edge"/>
          <c:yMode val="edge"/>
          <c:x val="7.4074215084016903E-2"/>
          <c:y val="0.23664166239575082"/>
          <c:w val="0.51851950558811832"/>
          <c:h val="0.5916041559893771"/>
        </c:manualLayout>
      </c:layout>
      <c:lineChart>
        <c:grouping val="standard"/>
        <c:varyColors val="0"/>
        <c:ser>
          <c:idx val="0"/>
          <c:order val="0"/>
          <c:tx>
            <c:strRef>
              <c:f>Graphs!$B$208</c:f>
              <c:strCache>
                <c:ptCount val="1"/>
                <c:pt idx="0">
                  <c:v> Unrestricted Revenues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Graphs!$C$207:$K$207</c:f>
              <c:numCache>
                <c:formatCode>m/d/yyyy</c:formatCode>
                <c:ptCount val="5"/>
                <c:pt idx="0">
                  <c:v>40908</c:v>
                </c:pt>
                <c:pt idx="1">
                  <c:v>41274</c:v>
                </c:pt>
                <c:pt idx="2">
                  <c:v>41639</c:v>
                </c:pt>
                <c:pt idx="3">
                  <c:v>0</c:v>
                </c:pt>
                <c:pt idx="4">
                  <c:v>42004</c:v>
                </c:pt>
              </c:numCache>
            </c:numRef>
          </c:cat>
          <c:val>
            <c:numRef>
              <c:f>Graphs!$C$208:$K$208</c:f>
              <c:numCache>
                <c:formatCode>#,##0</c:formatCode>
                <c:ptCount val="5"/>
                <c:pt idx="0">
                  <c:v>675400</c:v>
                </c:pt>
                <c:pt idx="1">
                  <c:v>1087750</c:v>
                </c:pt>
                <c:pt idx="2">
                  <c:v>1044000</c:v>
                </c:pt>
                <c:pt idx="3">
                  <c:v>0</c:v>
                </c:pt>
                <c:pt idx="4">
                  <c:v>1393120</c:v>
                </c:pt>
              </c:numCache>
            </c:numRef>
          </c:val>
          <c:smooth val="0"/>
          <c:extLst>
            <c:ext xmlns:c16="http://schemas.microsoft.com/office/drawing/2014/chart" uri="{C3380CC4-5D6E-409C-BE32-E72D297353CC}">
              <c16:uniqueId val="{00000000-CE50-49F4-A881-06D580940FE7}"/>
            </c:ext>
          </c:extLst>
        </c:ser>
        <c:ser>
          <c:idx val="1"/>
          <c:order val="1"/>
          <c:tx>
            <c:strRef>
              <c:f>Graphs!$B$209</c:f>
              <c:strCache>
                <c:ptCount val="1"/>
                <c:pt idx="0">
                  <c:v> Expenses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Graphs!$C$207:$K$207</c:f>
              <c:numCache>
                <c:formatCode>m/d/yyyy</c:formatCode>
                <c:ptCount val="5"/>
                <c:pt idx="0">
                  <c:v>40908</c:v>
                </c:pt>
                <c:pt idx="1">
                  <c:v>41274</c:v>
                </c:pt>
                <c:pt idx="2">
                  <c:v>41639</c:v>
                </c:pt>
                <c:pt idx="3">
                  <c:v>0</c:v>
                </c:pt>
                <c:pt idx="4">
                  <c:v>42004</c:v>
                </c:pt>
              </c:numCache>
            </c:numRef>
          </c:cat>
          <c:val>
            <c:numRef>
              <c:f>Graphs!$C$209:$K$209</c:f>
              <c:numCache>
                <c:formatCode>#,##0</c:formatCode>
                <c:ptCount val="5"/>
                <c:pt idx="0">
                  <c:v>637500</c:v>
                </c:pt>
                <c:pt idx="1">
                  <c:v>823750</c:v>
                </c:pt>
                <c:pt idx="2">
                  <c:v>1135000</c:v>
                </c:pt>
                <c:pt idx="3">
                  <c:v>0</c:v>
                </c:pt>
                <c:pt idx="4">
                  <c:v>1340370</c:v>
                </c:pt>
              </c:numCache>
            </c:numRef>
          </c:val>
          <c:smooth val="0"/>
          <c:extLst>
            <c:ext xmlns:c16="http://schemas.microsoft.com/office/drawing/2014/chart" uri="{C3380CC4-5D6E-409C-BE32-E72D297353CC}">
              <c16:uniqueId val="{00000001-CE50-49F4-A881-06D580940FE7}"/>
            </c:ext>
          </c:extLst>
        </c:ser>
        <c:dLbls>
          <c:showLegendKey val="0"/>
          <c:showVal val="0"/>
          <c:showCatName val="0"/>
          <c:showSerName val="0"/>
          <c:showPercent val="0"/>
          <c:showBubbleSize val="0"/>
        </c:dLbls>
        <c:marker val="1"/>
        <c:smooth val="0"/>
        <c:axId val="345802584"/>
        <c:axId val="345802976"/>
      </c:lineChart>
      <c:dateAx>
        <c:axId val="345802584"/>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2976"/>
        <c:crosses val="autoZero"/>
        <c:auto val="1"/>
        <c:lblOffset val="100"/>
        <c:baseTimeUnit val="years"/>
        <c:majorUnit val="1"/>
        <c:minorUnit val="1"/>
      </c:dateAx>
      <c:valAx>
        <c:axId val="3458029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2584"/>
        <c:crosses val="autoZero"/>
        <c:crossBetween val="between"/>
      </c:valAx>
      <c:spPr>
        <a:noFill/>
        <a:ln w="12700">
          <a:solidFill>
            <a:srgbClr val="808080"/>
          </a:solidFill>
          <a:prstDash val="solid"/>
        </a:ln>
      </c:spPr>
    </c:plotArea>
    <c:legend>
      <c:legendPos val="r"/>
      <c:layout>
        <c:manualLayout>
          <c:xMode val="edge"/>
          <c:yMode val="edge"/>
          <c:wMode val="edge"/>
          <c:hMode val="edge"/>
          <c:x val="0.65871918057026491"/>
          <c:y val="0.4622359800444793"/>
          <c:w val="0.98418095398893846"/>
          <c:h val="0.63606820139849285"/>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ahoma"/>
                <a:ea typeface="Tahoma"/>
                <a:cs typeface="Tahoma"/>
              </a:defRPr>
            </a:pPr>
            <a:r>
              <a:t>Earned Revenue vs. Operating Expenses</a:t>
            </a:r>
          </a:p>
        </c:rich>
      </c:tx>
      <c:layout>
        <c:manualLayout>
          <c:xMode val="edge"/>
          <c:yMode val="edge"/>
          <c:x val="0.27058885286398032"/>
          <c:y val="3.8314176245210725E-2"/>
        </c:manualLayout>
      </c:layout>
      <c:overlay val="0"/>
      <c:spPr>
        <a:noFill/>
        <a:ln w="25400">
          <a:noFill/>
        </a:ln>
      </c:spPr>
    </c:title>
    <c:autoTitleDeleted val="0"/>
    <c:plotArea>
      <c:layout>
        <c:manualLayout>
          <c:layoutTarget val="inner"/>
          <c:xMode val="edge"/>
          <c:yMode val="edge"/>
          <c:x val="7.6470734663631024E-2"/>
          <c:y val="0.23371734957700985"/>
          <c:w val="0.54509908298690835"/>
          <c:h val="0.59387195384321811"/>
        </c:manualLayout>
      </c:layout>
      <c:lineChart>
        <c:grouping val="standard"/>
        <c:varyColors val="0"/>
        <c:ser>
          <c:idx val="0"/>
          <c:order val="0"/>
          <c:tx>
            <c:strRef>
              <c:f>Graphs!$B$230</c:f>
              <c:strCache>
                <c:ptCount val="1"/>
                <c:pt idx="0">
                  <c:v>Earned Revenue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Graphs!$C$229:$K$229</c:f>
              <c:numCache>
                <c:formatCode>m/d/yyyy</c:formatCode>
                <c:ptCount val="5"/>
                <c:pt idx="0">
                  <c:v>40908</c:v>
                </c:pt>
                <c:pt idx="1">
                  <c:v>41274</c:v>
                </c:pt>
                <c:pt idx="2">
                  <c:v>41639</c:v>
                </c:pt>
                <c:pt idx="3">
                  <c:v>0</c:v>
                </c:pt>
                <c:pt idx="4">
                  <c:v>42004</c:v>
                </c:pt>
              </c:numCache>
            </c:numRef>
          </c:cat>
          <c:val>
            <c:numRef>
              <c:f>Graphs!$C$230:$K$230</c:f>
              <c:numCache>
                <c:formatCode>#,##0_);[Red]\(#,##0\)</c:formatCode>
                <c:ptCount val="5"/>
                <c:pt idx="0">
                  <c:v>375400</c:v>
                </c:pt>
                <c:pt idx="1">
                  <c:v>540750</c:v>
                </c:pt>
                <c:pt idx="2">
                  <c:v>694000</c:v>
                </c:pt>
                <c:pt idx="3">
                  <c:v>0</c:v>
                </c:pt>
                <c:pt idx="4">
                  <c:v>743120</c:v>
                </c:pt>
              </c:numCache>
            </c:numRef>
          </c:val>
          <c:smooth val="0"/>
          <c:extLst>
            <c:ext xmlns:c16="http://schemas.microsoft.com/office/drawing/2014/chart" uri="{C3380CC4-5D6E-409C-BE32-E72D297353CC}">
              <c16:uniqueId val="{00000000-D035-4229-8E78-938B4CBBA0BA}"/>
            </c:ext>
          </c:extLst>
        </c:ser>
        <c:ser>
          <c:idx val="1"/>
          <c:order val="1"/>
          <c:tx>
            <c:strRef>
              <c:f>Graphs!$B$231</c:f>
              <c:strCache>
                <c:ptCount val="1"/>
                <c:pt idx="0">
                  <c:v>Operating Expenses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Graphs!$C$229:$K$229</c:f>
              <c:numCache>
                <c:formatCode>m/d/yyyy</c:formatCode>
                <c:ptCount val="5"/>
                <c:pt idx="0">
                  <c:v>40908</c:v>
                </c:pt>
                <c:pt idx="1">
                  <c:v>41274</c:v>
                </c:pt>
                <c:pt idx="2">
                  <c:v>41639</c:v>
                </c:pt>
                <c:pt idx="3">
                  <c:v>0</c:v>
                </c:pt>
                <c:pt idx="4">
                  <c:v>42004</c:v>
                </c:pt>
              </c:numCache>
            </c:numRef>
          </c:cat>
          <c:val>
            <c:numRef>
              <c:f>Graphs!$C$231:$K$231</c:f>
              <c:numCache>
                <c:formatCode>#,##0_);[Red]\(#,##0\)</c:formatCode>
                <c:ptCount val="5"/>
                <c:pt idx="0">
                  <c:v>467500</c:v>
                </c:pt>
                <c:pt idx="1">
                  <c:v>613750</c:v>
                </c:pt>
                <c:pt idx="2">
                  <c:v>860000</c:v>
                </c:pt>
                <c:pt idx="3">
                  <c:v>0</c:v>
                </c:pt>
                <c:pt idx="4">
                  <c:v>1125370</c:v>
                </c:pt>
              </c:numCache>
            </c:numRef>
          </c:val>
          <c:smooth val="0"/>
          <c:extLst>
            <c:ext xmlns:c16="http://schemas.microsoft.com/office/drawing/2014/chart" uri="{C3380CC4-5D6E-409C-BE32-E72D297353CC}">
              <c16:uniqueId val="{00000001-D035-4229-8E78-938B4CBBA0BA}"/>
            </c:ext>
          </c:extLst>
        </c:ser>
        <c:dLbls>
          <c:showLegendKey val="0"/>
          <c:showVal val="0"/>
          <c:showCatName val="0"/>
          <c:showSerName val="0"/>
          <c:showPercent val="0"/>
          <c:showBubbleSize val="0"/>
        </c:dLbls>
        <c:marker val="1"/>
        <c:smooth val="0"/>
        <c:axId val="345803760"/>
        <c:axId val="345804152"/>
      </c:lineChart>
      <c:dateAx>
        <c:axId val="345803760"/>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4152"/>
        <c:crosses val="autoZero"/>
        <c:auto val="1"/>
        <c:lblOffset val="100"/>
        <c:baseTimeUnit val="years"/>
        <c:majorUnit val="1"/>
        <c:minorUnit val="1"/>
      </c:dateAx>
      <c:valAx>
        <c:axId val="345804152"/>
        <c:scaling>
          <c:orientation val="minMax"/>
        </c:scaling>
        <c:delete val="0"/>
        <c:axPos val="l"/>
        <c:majorGridlines>
          <c:spPr>
            <a:ln w="3175">
              <a:solidFill>
                <a:srgbClr val="000000"/>
              </a:solidFill>
              <a:prstDash val="solid"/>
            </a:ln>
          </c:spPr>
        </c:majorGridlines>
        <c:numFmt formatCode="#,##0_);[Red]\(#,##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803760"/>
        <c:crosses val="autoZero"/>
        <c:crossBetween val="between"/>
      </c:valAx>
      <c:spPr>
        <a:noFill/>
        <a:ln w="12700">
          <a:solidFill>
            <a:srgbClr val="808080"/>
          </a:solidFill>
          <a:prstDash val="solid"/>
        </a:ln>
      </c:spPr>
    </c:plotArea>
    <c:legend>
      <c:legendPos val="r"/>
      <c:layout>
        <c:manualLayout>
          <c:xMode val="edge"/>
          <c:yMode val="edge"/>
          <c:wMode val="edge"/>
          <c:hMode val="edge"/>
          <c:x val="0.68916329576450008"/>
          <c:y val="0.45038364457316399"/>
          <c:w val="0.98675642015336318"/>
          <c:h val="0.6242161683812476"/>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ahoma"/>
                <a:ea typeface="Tahoma"/>
                <a:cs typeface="Tahoma"/>
              </a:defRPr>
            </a:pPr>
            <a:r>
              <a:t>Self-Sufficiency %</a:t>
            </a:r>
          </a:p>
        </c:rich>
      </c:tx>
      <c:layout>
        <c:manualLayout>
          <c:xMode val="edge"/>
          <c:yMode val="edge"/>
          <c:x val="0.39411847048530846"/>
          <c:y val="3.8314176245210725E-2"/>
        </c:manualLayout>
      </c:layout>
      <c:overlay val="0"/>
      <c:spPr>
        <a:noFill/>
        <a:ln w="25400">
          <a:noFill/>
        </a:ln>
      </c:spPr>
    </c:title>
    <c:autoTitleDeleted val="0"/>
    <c:plotArea>
      <c:layout>
        <c:manualLayout>
          <c:layoutTarget val="inner"/>
          <c:xMode val="edge"/>
          <c:yMode val="edge"/>
          <c:x val="0.11764728409789388"/>
          <c:y val="0.23371734957700985"/>
          <c:w val="0.55294223526010366"/>
          <c:h val="0.59387195384321811"/>
        </c:manualLayout>
      </c:layout>
      <c:lineChart>
        <c:grouping val="standard"/>
        <c:varyColors val="0"/>
        <c:ser>
          <c:idx val="0"/>
          <c:order val="0"/>
          <c:tx>
            <c:strRef>
              <c:f>Graphs!$B$234</c:f>
              <c:strCache>
                <c:ptCount val="1"/>
                <c:pt idx="0">
                  <c:v>Self-Sufficiency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Graphs!$C$233:$K$233</c:f>
              <c:numCache>
                <c:formatCode>m/d/yyyy</c:formatCode>
                <c:ptCount val="5"/>
                <c:pt idx="0">
                  <c:v>40908</c:v>
                </c:pt>
                <c:pt idx="1">
                  <c:v>41274</c:v>
                </c:pt>
                <c:pt idx="2">
                  <c:v>41639</c:v>
                </c:pt>
                <c:pt idx="3">
                  <c:v>0</c:v>
                </c:pt>
                <c:pt idx="4">
                  <c:v>42004</c:v>
                </c:pt>
              </c:numCache>
            </c:numRef>
          </c:cat>
          <c:val>
            <c:numRef>
              <c:f>Graphs!$C$234:$K$234</c:f>
              <c:numCache>
                <c:formatCode>0%</c:formatCode>
                <c:ptCount val="5"/>
                <c:pt idx="0">
                  <c:v>0.58886274509803926</c:v>
                </c:pt>
                <c:pt idx="1">
                  <c:v>0.65644916540212439</c:v>
                </c:pt>
                <c:pt idx="2">
                  <c:v>0.61145374449339207</c:v>
                </c:pt>
                <c:pt idx="3">
                  <c:v>0</c:v>
                </c:pt>
                <c:pt idx="4">
                  <c:v>0.5544140796944127</c:v>
                </c:pt>
              </c:numCache>
            </c:numRef>
          </c:val>
          <c:smooth val="0"/>
          <c:extLst>
            <c:ext xmlns:c16="http://schemas.microsoft.com/office/drawing/2014/chart" uri="{C3380CC4-5D6E-409C-BE32-E72D297353CC}">
              <c16:uniqueId val="{00000000-343E-4989-9E62-EC00CA543652}"/>
            </c:ext>
          </c:extLst>
        </c:ser>
        <c:dLbls>
          <c:showLegendKey val="0"/>
          <c:showVal val="0"/>
          <c:showCatName val="0"/>
          <c:showSerName val="0"/>
          <c:showPercent val="0"/>
          <c:showBubbleSize val="0"/>
        </c:dLbls>
        <c:marker val="1"/>
        <c:smooth val="0"/>
        <c:axId val="345913664"/>
        <c:axId val="345914056"/>
      </c:lineChart>
      <c:dateAx>
        <c:axId val="345913664"/>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914056"/>
        <c:crosses val="autoZero"/>
        <c:auto val="1"/>
        <c:lblOffset val="100"/>
        <c:baseTimeUnit val="years"/>
        <c:majorUnit val="1"/>
        <c:minorUnit val="1"/>
      </c:dateAx>
      <c:valAx>
        <c:axId val="34591405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45913664"/>
        <c:crosses val="autoZero"/>
        <c:crossBetween val="between"/>
      </c:valAx>
      <c:spPr>
        <a:noFill/>
        <a:ln w="12700">
          <a:solidFill>
            <a:srgbClr val="808080"/>
          </a:solidFill>
          <a:prstDash val="solid"/>
        </a:ln>
      </c:spPr>
    </c:plotArea>
    <c:legend>
      <c:legendPos val="r"/>
      <c:layout>
        <c:manualLayout>
          <c:xMode val="edge"/>
          <c:yMode val="edge"/>
          <c:wMode val="edge"/>
          <c:hMode val="edge"/>
          <c:x val="0.73615171632958343"/>
          <c:y val="0.49384177552518582"/>
          <c:w val="0.98479872368895061"/>
          <c:h val="0.5807580374292296"/>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2769448250911541"/>
          <c:y val="7.9817848825529114E-2"/>
          <c:w val="0.55338830348050472"/>
          <c:h val="0.77926535434755662"/>
        </c:manualLayout>
      </c:layout>
      <c:barChart>
        <c:barDir val="col"/>
        <c:grouping val="stacked"/>
        <c:varyColors val="0"/>
        <c:ser>
          <c:idx val="0"/>
          <c:order val="0"/>
          <c:tx>
            <c:strRef>
              <c:f>'Graphs NEW'!$B$87</c:f>
              <c:strCache>
                <c:ptCount val="1"/>
                <c:pt idx="0">
                  <c:v>Unrestricted Net Assets</c:v>
                </c:pt>
              </c:strCache>
            </c:strRef>
          </c:tx>
          <c:invertIfNegative val="0"/>
          <c:cat>
            <c:strRef>
              <c:f>'Graphs NEW'!$C$86:$M$86</c:f>
              <c:strCache>
                <c:ptCount val="6"/>
                <c:pt idx="0">
                  <c:v>FYE 2006</c:v>
                </c:pt>
                <c:pt idx="1">
                  <c:v>FYE 2007</c:v>
                </c:pt>
                <c:pt idx="2">
                  <c:v>FYE 2008</c:v>
                </c:pt>
                <c:pt idx="3">
                  <c:v>FYE 2009</c:v>
                </c:pt>
                <c:pt idx="4">
                  <c:v>FYE 2010</c:v>
                </c:pt>
                <c:pt idx="5">
                  <c:v>#REF!</c:v>
                </c:pt>
              </c:strCache>
            </c:strRef>
          </c:cat>
          <c:val>
            <c:numRef>
              <c:f>'Graphs NEW'!$C$87:$M$87</c:f>
              <c:numCache>
                <c:formatCode>_("$"* #,##0_);_("$"* \(#,##0\);_("$"* "-"??_);_(@_)</c:formatCode>
                <c:ptCount val="6"/>
                <c:pt idx="0">
                  <c:v>1468</c:v>
                </c:pt>
                <c:pt idx="1">
                  <c:v>1532</c:v>
                </c:pt>
                <c:pt idx="2">
                  <c:v>1741</c:v>
                </c:pt>
                <c:pt idx="3">
                  <c:v>0</c:v>
                </c:pt>
                <c:pt idx="4">
                  <c:v>1443.75</c:v>
                </c:pt>
                <c:pt idx="5">
                  <c:v>0</c:v>
                </c:pt>
              </c:numCache>
            </c:numRef>
          </c:val>
          <c:extLst>
            <c:ext xmlns:c16="http://schemas.microsoft.com/office/drawing/2014/chart" uri="{C3380CC4-5D6E-409C-BE32-E72D297353CC}">
              <c16:uniqueId val="{00000000-BE49-4642-8F4F-37FBFBBFC8E2}"/>
            </c:ext>
          </c:extLst>
        </c:ser>
        <c:ser>
          <c:idx val="1"/>
          <c:order val="1"/>
          <c:tx>
            <c:strRef>
              <c:f>'Graphs NEW'!$B$88</c:f>
              <c:strCache>
                <c:ptCount val="1"/>
                <c:pt idx="0">
                  <c:v>Temporarily Restricted Net Assets</c:v>
                </c:pt>
              </c:strCache>
            </c:strRef>
          </c:tx>
          <c:invertIfNegative val="0"/>
          <c:cat>
            <c:strRef>
              <c:f>'Graphs NEW'!$C$86:$M$86</c:f>
              <c:strCache>
                <c:ptCount val="6"/>
                <c:pt idx="0">
                  <c:v>FYE 2006</c:v>
                </c:pt>
                <c:pt idx="1">
                  <c:v>FYE 2007</c:v>
                </c:pt>
                <c:pt idx="2">
                  <c:v>FYE 2008</c:v>
                </c:pt>
                <c:pt idx="3">
                  <c:v>FYE 2009</c:v>
                </c:pt>
                <c:pt idx="4">
                  <c:v>FYE 2010</c:v>
                </c:pt>
                <c:pt idx="5">
                  <c:v>#REF!</c:v>
                </c:pt>
              </c:strCache>
            </c:strRef>
          </c:cat>
          <c:val>
            <c:numRef>
              <c:f>'Graphs NEW'!$C$88:$M$88</c:f>
              <c:numCache>
                <c:formatCode>_("$"* #,##0_);_("$"* \(#,##0\);_("$"* "-"??_);_(@_)</c:formatCode>
                <c:ptCount val="6"/>
                <c:pt idx="0">
                  <c:v>500</c:v>
                </c:pt>
                <c:pt idx="1">
                  <c:v>800</c:v>
                </c:pt>
                <c:pt idx="2">
                  <c:v>700</c:v>
                </c:pt>
                <c:pt idx="3">
                  <c:v>0</c:v>
                </c:pt>
                <c:pt idx="4">
                  <c:v>1000</c:v>
                </c:pt>
                <c:pt idx="5">
                  <c:v>0</c:v>
                </c:pt>
              </c:numCache>
            </c:numRef>
          </c:val>
          <c:extLst>
            <c:ext xmlns:c16="http://schemas.microsoft.com/office/drawing/2014/chart" uri="{C3380CC4-5D6E-409C-BE32-E72D297353CC}">
              <c16:uniqueId val="{00000001-BE49-4642-8F4F-37FBFBBFC8E2}"/>
            </c:ext>
          </c:extLst>
        </c:ser>
        <c:ser>
          <c:idx val="2"/>
          <c:order val="2"/>
          <c:tx>
            <c:strRef>
              <c:f>'Graphs NEW'!$B$89</c:f>
              <c:strCache>
                <c:ptCount val="1"/>
                <c:pt idx="0">
                  <c:v>Permanently Restricted Net Assets</c:v>
                </c:pt>
              </c:strCache>
            </c:strRef>
          </c:tx>
          <c:invertIfNegative val="0"/>
          <c:cat>
            <c:strRef>
              <c:f>'Graphs NEW'!$C$86:$M$86</c:f>
              <c:strCache>
                <c:ptCount val="6"/>
                <c:pt idx="0">
                  <c:v>FYE 2006</c:v>
                </c:pt>
                <c:pt idx="1">
                  <c:v>FYE 2007</c:v>
                </c:pt>
                <c:pt idx="2">
                  <c:v>FYE 2008</c:v>
                </c:pt>
                <c:pt idx="3">
                  <c:v>FYE 2009</c:v>
                </c:pt>
                <c:pt idx="4">
                  <c:v>FYE 2010</c:v>
                </c:pt>
                <c:pt idx="5">
                  <c:v>#REF!</c:v>
                </c:pt>
              </c:strCache>
            </c:strRef>
          </c:cat>
          <c:val>
            <c:numRef>
              <c:f>'Graphs NEW'!$C$89:$M$89</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BE49-4642-8F4F-37FBFBBFC8E2}"/>
            </c:ext>
          </c:extLst>
        </c:ser>
        <c:ser>
          <c:idx val="3"/>
          <c:order val="3"/>
          <c:tx>
            <c:strRef>
              <c:f>'Graphs NEW'!$B$90</c:f>
              <c:strCache>
                <c:ptCount val="1"/>
                <c:pt idx="0">
                  <c:v>Total Liabilities</c:v>
                </c:pt>
              </c:strCache>
            </c:strRef>
          </c:tx>
          <c:invertIfNegative val="0"/>
          <c:cat>
            <c:strRef>
              <c:f>'Graphs NEW'!$C$86:$M$86</c:f>
              <c:strCache>
                <c:ptCount val="6"/>
                <c:pt idx="0">
                  <c:v>FYE 2006</c:v>
                </c:pt>
                <c:pt idx="1">
                  <c:v>FYE 2007</c:v>
                </c:pt>
                <c:pt idx="2">
                  <c:v>FYE 2008</c:v>
                </c:pt>
                <c:pt idx="3">
                  <c:v>FYE 2009</c:v>
                </c:pt>
                <c:pt idx="4">
                  <c:v>FYE 2010</c:v>
                </c:pt>
                <c:pt idx="5">
                  <c:v>#REF!</c:v>
                </c:pt>
              </c:strCache>
            </c:strRef>
          </c:cat>
          <c:val>
            <c:numRef>
              <c:f>'Graphs NEW'!$C$90:$M$90</c:f>
              <c:numCache>
                <c:formatCode>_("$"* #,##0_);_("$"* \(#,##0\);_("$"* "-"??_);_(@_)</c:formatCode>
                <c:ptCount val="6"/>
                <c:pt idx="0">
                  <c:v>3003</c:v>
                </c:pt>
                <c:pt idx="1">
                  <c:v>3620</c:v>
                </c:pt>
                <c:pt idx="2">
                  <c:v>4390</c:v>
                </c:pt>
                <c:pt idx="3">
                  <c:v>0</c:v>
                </c:pt>
                <c:pt idx="4">
                  <c:v>5621</c:v>
                </c:pt>
                <c:pt idx="5">
                  <c:v>0</c:v>
                </c:pt>
              </c:numCache>
            </c:numRef>
          </c:val>
          <c:extLst>
            <c:ext xmlns:c16="http://schemas.microsoft.com/office/drawing/2014/chart" uri="{C3380CC4-5D6E-409C-BE32-E72D297353CC}">
              <c16:uniqueId val="{00000003-BE49-4642-8F4F-37FBFBBFC8E2}"/>
            </c:ext>
          </c:extLst>
        </c:ser>
        <c:dLbls>
          <c:showLegendKey val="0"/>
          <c:showVal val="0"/>
          <c:showCatName val="0"/>
          <c:showSerName val="0"/>
          <c:showPercent val="0"/>
          <c:showBubbleSize val="0"/>
        </c:dLbls>
        <c:gapWidth val="150"/>
        <c:overlap val="100"/>
        <c:axId val="319113728"/>
        <c:axId val="319328392"/>
      </c:barChart>
      <c:catAx>
        <c:axId val="319113728"/>
        <c:scaling>
          <c:orientation val="minMax"/>
        </c:scaling>
        <c:delete val="0"/>
        <c:axPos val="b"/>
        <c:numFmt formatCode="General" sourceLinked="1"/>
        <c:majorTickMark val="out"/>
        <c:minorTickMark val="none"/>
        <c:tickLblPos val="nextTo"/>
        <c:txPr>
          <a:bodyPr rot="0" vert="horz"/>
          <a:lstStyle/>
          <a:p>
            <a:pPr>
              <a:defRPr/>
            </a:pPr>
            <a:endParaRPr lang="en-US"/>
          </a:p>
        </c:txPr>
        <c:crossAx val="319328392"/>
        <c:crosses val="autoZero"/>
        <c:auto val="1"/>
        <c:lblAlgn val="ctr"/>
        <c:lblOffset val="100"/>
        <c:tickLblSkip val="1"/>
        <c:tickMarkSkip val="1"/>
        <c:noMultiLvlLbl val="0"/>
      </c:catAx>
      <c:valAx>
        <c:axId val="319328392"/>
        <c:scaling>
          <c:orientation val="minMax"/>
        </c:scaling>
        <c:delete val="0"/>
        <c:axPos val="l"/>
        <c:majorGridlines/>
        <c:title>
          <c:tx>
            <c:rich>
              <a:bodyPr/>
              <a:lstStyle/>
              <a:p>
                <a:pPr>
                  <a:defRPr/>
                </a:pPr>
                <a:r>
                  <a:rPr lang="en-US"/>
                  <a:t>$000s</a:t>
                </a:r>
              </a:p>
            </c:rich>
          </c:tx>
          <c:layout>
            <c:manualLayout>
              <c:xMode val="edge"/>
              <c:yMode val="edge"/>
              <c:x val="1.387335033824998E-2"/>
              <c:y val="0.37151867555017365"/>
            </c:manualLayout>
          </c:layout>
          <c:overlay val="0"/>
        </c:title>
        <c:numFmt formatCode="_(&quot;$&quot;* #,##0_);_(&quot;$&quot;* \(#,##0\);_(&quot;$&quot;* &quot;-&quot;??_);_(@_)" sourceLinked="1"/>
        <c:majorTickMark val="out"/>
        <c:minorTickMark val="none"/>
        <c:tickLblPos val="nextTo"/>
        <c:txPr>
          <a:bodyPr rot="0" vert="horz"/>
          <a:lstStyle/>
          <a:p>
            <a:pPr>
              <a:defRPr/>
            </a:pPr>
            <a:endParaRPr lang="en-US"/>
          </a:p>
        </c:txPr>
        <c:crossAx val="319113728"/>
        <c:crosses val="autoZero"/>
        <c:crossBetween val="between"/>
      </c:valAx>
    </c:plotArea>
    <c:legend>
      <c:legendPos val="r"/>
      <c:layout>
        <c:manualLayout>
          <c:xMode val="edge"/>
          <c:yMode val="edge"/>
          <c:x val="0.71610188163099364"/>
          <c:y val="8.4698835722458468E-2"/>
          <c:w val="0.27161805478540535"/>
          <c:h val="0.78961087556363163"/>
        </c:manualLayout>
      </c:layout>
      <c:overlay val="0"/>
    </c:legend>
    <c:plotVisOnly val="1"/>
    <c:dispBlanksAs val="gap"/>
    <c:showDLblsOverMax val="0"/>
  </c:chart>
  <c:spPr>
    <a:ln>
      <a:noFill/>
    </a:ln>
  </c:spPr>
  <c:printSettings>
    <c:headerFooter alignWithMargins="0"/>
    <c:pageMargins b="1" l="0.75000000000000244" r="0.750000000000002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923094093890005E-2"/>
          <c:y val="7.2939067993865153E-2"/>
          <c:w val="0.63718667530521722"/>
          <c:h val="0.78753514142436087"/>
        </c:manualLayout>
      </c:layout>
      <c:barChart>
        <c:barDir val="col"/>
        <c:grouping val="stacked"/>
        <c:varyColors val="0"/>
        <c:ser>
          <c:idx val="0"/>
          <c:order val="0"/>
          <c:tx>
            <c:strRef>
              <c:f>'Graphs NEW'!$B$167</c:f>
              <c:strCache>
                <c:ptCount val="1"/>
                <c:pt idx="0">
                  <c:v>Net Loans Receivable</c:v>
                </c:pt>
              </c:strCache>
            </c:strRef>
          </c:tx>
          <c:invertIfNegative val="0"/>
          <c:cat>
            <c:strRef>
              <c:f>'Graphs NEW'!$C$166:$M$166</c:f>
              <c:strCache>
                <c:ptCount val="6"/>
                <c:pt idx="0">
                  <c:v>FYE 2006</c:v>
                </c:pt>
                <c:pt idx="1">
                  <c:v>FYE 2007</c:v>
                </c:pt>
                <c:pt idx="2">
                  <c:v>FYE 2008</c:v>
                </c:pt>
                <c:pt idx="3">
                  <c:v>FYE 2009</c:v>
                </c:pt>
                <c:pt idx="4">
                  <c:v>FYE 2010</c:v>
                </c:pt>
                <c:pt idx="5">
                  <c:v>#REF!</c:v>
                </c:pt>
              </c:strCache>
            </c:strRef>
          </c:cat>
          <c:val>
            <c:numRef>
              <c:f>'Graphs NEW'!$C$167:$M$167</c:f>
              <c:numCache>
                <c:formatCode>_("$"* #,##0_);_("$"* \(#,##0\);_("$"* "-"??_);_(@_)</c:formatCode>
                <c:ptCount val="6"/>
                <c:pt idx="0">
                  <c:v>3200000</c:v>
                </c:pt>
                <c:pt idx="1">
                  <c:v>3600000</c:v>
                </c:pt>
                <c:pt idx="2">
                  <c:v>4300000</c:v>
                </c:pt>
                <c:pt idx="3">
                  <c:v>0</c:v>
                </c:pt>
                <c:pt idx="4">
                  <c:v>4425000</c:v>
                </c:pt>
                <c:pt idx="5">
                  <c:v>0</c:v>
                </c:pt>
              </c:numCache>
            </c:numRef>
          </c:val>
          <c:extLst>
            <c:ext xmlns:c16="http://schemas.microsoft.com/office/drawing/2014/chart" uri="{C3380CC4-5D6E-409C-BE32-E72D297353CC}">
              <c16:uniqueId val="{00000000-7DF0-47CD-AE90-9110C057047A}"/>
            </c:ext>
          </c:extLst>
        </c:ser>
        <c:ser>
          <c:idx val="1"/>
          <c:order val="1"/>
          <c:tx>
            <c:strRef>
              <c:f>'Graphs NEW'!$B$168</c:f>
              <c:strCache>
                <c:ptCount val="1"/>
                <c:pt idx="0">
                  <c:v>Cash and Investments</c:v>
                </c:pt>
              </c:strCache>
            </c:strRef>
          </c:tx>
          <c:invertIfNegative val="0"/>
          <c:cat>
            <c:strRef>
              <c:f>'Graphs NEW'!$C$166:$M$166</c:f>
              <c:strCache>
                <c:ptCount val="6"/>
                <c:pt idx="0">
                  <c:v>FYE 2006</c:v>
                </c:pt>
                <c:pt idx="1">
                  <c:v>FYE 2007</c:v>
                </c:pt>
                <c:pt idx="2">
                  <c:v>FYE 2008</c:v>
                </c:pt>
                <c:pt idx="3">
                  <c:v>FYE 2009</c:v>
                </c:pt>
                <c:pt idx="4">
                  <c:v>FYE 2010</c:v>
                </c:pt>
                <c:pt idx="5">
                  <c:v>#REF!</c:v>
                </c:pt>
              </c:strCache>
            </c:strRef>
          </c:cat>
          <c:val>
            <c:numRef>
              <c:f>'Graphs NEW'!$C$168:$M$168</c:f>
              <c:numCache>
                <c:formatCode>_("$"* #,##0_);_("$"* \(#,##0\);_("$"* "-"??_);_(@_)</c:formatCode>
                <c:ptCount val="6"/>
                <c:pt idx="0">
                  <c:v>1275000</c:v>
                </c:pt>
                <c:pt idx="1">
                  <c:v>1825000</c:v>
                </c:pt>
                <c:pt idx="2">
                  <c:v>2002000</c:v>
                </c:pt>
                <c:pt idx="3">
                  <c:v>0</c:v>
                </c:pt>
                <c:pt idx="4">
                  <c:v>3125750</c:v>
                </c:pt>
                <c:pt idx="5">
                  <c:v>0</c:v>
                </c:pt>
              </c:numCache>
            </c:numRef>
          </c:val>
          <c:extLst>
            <c:ext xmlns:c16="http://schemas.microsoft.com/office/drawing/2014/chart" uri="{C3380CC4-5D6E-409C-BE32-E72D297353CC}">
              <c16:uniqueId val="{00000001-7DF0-47CD-AE90-9110C057047A}"/>
            </c:ext>
          </c:extLst>
        </c:ser>
        <c:ser>
          <c:idx val="2"/>
          <c:order val="2"/>
          <c:tx>
            <c:strRef>
              <c:f>'Graphs NEW'!$B$169</c:f>
              <c:strCache>
                <c:ptCount val="1"/>
                <c:pt idx="0">
                  <c:v>Other Receivables and Other Assets</c:v>
                </c:pt>
              </c:strCache>
            </c:strRef>
          </c:tx>
          <c:invertIfNegative val="0"/>
          <c:cat>
            <c:strRef>
              <c:f>'Graphs NEW'!$C$166:$M$166</c:f>
              <c:strCache>
                <c:ptCount val="6"/>
                <c:pt idx="0">
                  <c:v>FYE 2006</c:v>
                </c:pt>
                <c:pt idx="1">
                  <c:v>FYE 2007</c:v>
                </c:pt>
                <c:pt idx="2">
                  <c:v>FYE 2008</c:v>
                </c:pt>
                <c:pt idx="3">
                  <c:v>FYE 2009</c:v>
                </c:pt>
                <c:pt idx="4">
                  <c:v>FYE 2010</c:v>
                </c:pt>
                <c:pt idx="5">
                  <c:v>#REF!</c:v>
                </c:pt>
              </c:strCache>
            </c:strRef>
          </c:cat>
          <c:val>
            <c:numRef>
              <c:f>'Graphs NEW'!$C$169:$M$169</c:f>
              <c:numCache>
                <c:formatCode>_("$"* #,##0_);_("$"* \(#,##0\);_("$"* "-"??_);_(@_)</c:formatCode>
                <c:ptCount val="6"/>
                <c:pt idx="0">
                  <c:v>171000</c:v>
                </c:pt>
                <c:pt idx="1">
                  <c:v>207000</c:v>
                </c:pt>
                <c:pt idx="2">
                  <c:v>218000</c:v>
                </c:pt>
                <c:pt idx="3">
                  <c:v>0</c:v>
                </c:pt>
                <c:pt idx="4">
                  <c:v>289000</c:v>
                </c:pt>
                <c:pt idx="5">
                  <c:v>0</c:v>
                </c:pt>
              </c:numCache>
            </c:numRef>
          </c:val>
          <c:extLst>
            <c:ext xmlns:c16="http://schemas.microsoft.com/office/drawing/2014/chart" uri="{C3380CC4-5D6E-409C-BE32-E72D297353CC}">
              <c16:uniqueId val="{00000002-7DF0-47CD-AE90-9110C057047A}"/>
            </c:ext>
          </c:extLst>
        </c:ser>
        <c:ser>
          <c:idx val="3"/>
          <c:order val="3"/>
          <c:tx>
            <c:strRef>
              <c:f>'Graphs NEW'!$B$170</c:f>
              <c:strCache>
                <c:ptCount val="1"/>
                <c:pt idx="0">
                  <c:v>Fixed Assets</c:v>
                </c:pt>
              </c:strCache>
            </c:strRef>
          </c:tx>
          <c:invertIfNegative val="0"/>
          <c:cat>
            <c:strRef>
              <c:f>'Graphs NEW'!$C$166:$M$166</c:f>
              <c:strCache>
                <c:ptCount val="6"/>
                <c:pt idx="0">
                  <c:v>FYE 2006</c:v>
                </c:pt>
                <c:pt idx="1">
                  <c:v>FYE 2007</c:v>
                </c:pt>
                <c:pt idx="2">
                  <c:v>FYE 2008</c:v>
                </c:pt>
                <c:pt idx="3">
                  <c:v>FYE 2009</c:v>
                </c:pt>
                <c:pt idx="4">
                  <c:v>FYE 2010</c:v>
                </c:pt>
                <c:pt idx="5">
                  <c:v>#REF!</c:v>
                </c:pt>
              </c:strCache>
            </c:strRef>
          </c:cat>
          <c:val>
            <c:numRef>
              <c:f>'Graphs NEW'!$C$170:$M$170</c:f>
              <c:numCache>
                <c:formatCode>_("$"* #,##0_);_("$"* \(#,##0\);_("$"* "-"??_);_(@_)</c:formatCode>
                <c:ptCount val="6"/>
                <c:pt idx="0">
                  <c:v>150000</c:v>
                </c:pt>
                <c:pt idx="1">
                  <c:v>145000</c:v>
                </c:pt>
                <c:pt idx="2">
                  <c:v>136000</c:v>
                </c:pt>
                <c:pt idx="3">
                  <c:v>0</c:v>
                </c:pt>
                <c:pt idx="4">
                  <c:v>225000</c:v>
                </c:pt>
                <c:pt idx="5">
                  <c:v>0</c:v>
                </c:pt>
              </c:numCache>
            </c:numRef>
          </c:val>
          <c:extLst>
            <c:ext xmlns:c16="http://schemas.microsoft.com/office/drawing/2014/chart" uri="{C3380CC4-5D6E-409C-BE32-E72D297353CC}">
              <c16:uniqueId val="{00000003-7DF0-47CD-AE90-9110C057047A}"/>
            </c:ext>
          </c:extLst>
        </c:ser>
        <c:dLbls>
          <c:showLegendKey val="0"/>
          <c:showVal val="0"/>
          <c:showCatName val="0"/>
          <c:showSerName val="0"/>
          <c:showPercent val="0"/>
          <c:showBubbleSize val="0"/>
        </c:dLbls>
        <c:gapWidth val="150"/>
        <c:overlap val="100"/>
        <c:axId val="317825440"/>
        <c:axId val="317904952"/>
      </c:barChart>
      <c:catAx>
        <c:axId val="317825440"/>
        <c:scaling>
          <c:orientation val="minMax"/>
        </c:scaling>
        <c:delete val="0"/>
        <c:axPos val="b"/>
        <c:numFmt formatCode="General" sourceLinked="1"/>
        <c:majorTickMark val="out"/>
        <c:minorTickMark val="none"/>
        <c:tickLblPos val="nextTo"/>
        <c:txPr>
          <a:bodyPr rot="0" vert="horz"/>
          <a:lstStyle/>
          <a:p>
            <a:pPr>
              <a:defRPr/>
            </a:pPr>
            <a:endParaRPr lang="en-US"/>
          </a:p>
        </c:txPr>
        <c:crossAx val="317904952"/>
        <c:crosses val="autoZero"/>
        <c:auto val="1"/>
        <c:lblAlgn val="ctr"/>
        <c:lblOffset val="100"/>
        <c:tickLblSkip val="1"/>
        <c:tickMarkSkip val="1"/>
        <c:noMultiLvlLbl val="0"/>
      </c:catAx>
      <c:valAx>
        <c:axId val="317904952"/>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a:pPr>
            <a:endParaRPr lang="en-US"/>
          </a:p>
        </c:txPr>
        <c:crossAx val="317825440"/>
        <c:crosses val="autoZero"/>
        <c:crossBetween val="between"/>
      </c:valAx>
    </c:plotArea>
    <c:legend>
      <c:legendPos val="r"/>
      <c:layout>
        <c:manualLayout>
          <c:xMode val="edge"/>
          <c:yMode val="edge"/>
          <c:x val="0.75606557924297624"/>
          <c:y val="6.6606838528745549E-2"/>
          <c:w val="0.23586712233307883"/>
          <c:h val="0.85947175781109564"/>
        </c:manualLayout>
      </c:layout>
      <c:overlay val="0"/>
    </c:legend>
    <c:plotVisOnly val="1"/>
    <c:dispBlanksAs val="gap"/>
    <c:showDLblsOverMax val="0"/>
  </c:chart>
  <c:spPr>
    <a:ln>
      <a:noFill/>
    </a:ln>
  </c:spPr>
  <c:printSettings>
    <c:headerFooter alignWithMargins="0"/>
    <c:pageMargins b="1" l="0.75000000000000244" r="0.750000000000002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5712222769177689"/>
          <c:y val="7.4175923677782238E-2"/>
          <c:w val="0.5642037807346395"/>
          <c:h val="0.81802716585271951"/>
        </c:manualLayout>
      </c:layout>
      <c:barChart>
        <c:barDir val="col"/>
        <c:grouping val="stacked"/>
        <c:varyColors val="0"/>
        <c:ser>
          <c:idx val="0"/>
          <c:order val="0"/>
          <c:tx>
            <c:strRef>
              <c:f>'Graphs NEW'!$B$204</c:f>
              <c:strCache>
                <c:ptCount val="1"/>
                <c:pt idx="0">
                  <c:v>Affordable Housing</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NEW'!$C$204:$M$204</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603-4881-9756-75009113529C}"/>
            </c:ext>
          </c:extLst>
        </c:ser>
        <c:ser>
          <c:idx val="1"/>
          <c:order val="1"/>
          <c:tx>
            <c:strRef>
              <c:f>'Graphs NEW'!$B$205</c:f>
              <c:strCache>
                <c:ptCount val="1"/>
                <c:pt idx="0">
                  <c:v>Small Business</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NEW'!$C$205:$M$205</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2603-4881-9756-75009113529C}"/>
            </c:ext>
          </c:extLst>
        </c:ser>
        <c:ser>
          <c:idx val="2"/>
          <c:order val="2"/>
          <c:tx>
            <c:strRef>
              <c:f>'Graphs NEW'!$B$206</c:f>
              <c:strCache>
                <c:ptCount val="1"/>
                <c:pt idx="0">
                  <c:v>Community Facilities</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NEW'!$C$206:$M$206</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2603-4881-9756-75009113529C}"/>
            </c:ext>
          </c:extLst>
        </c:ser>
        <c:ser>
          <c:idx val="3"/>
          <c:order val="3"/>
          <c:tx>
            <c:strRef>
              <c:f>'Graphs NEW'!$B$207</c:f>
              <c:strCache>
                <c:ptCount val="1"/>
                <c:pt idx="0">
                  <c:v>Education</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NEW'!$C$207:$M$207</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2603-4881-9756-75009113529C}"/>
            </c:ext>
          </c:extLst>
        </c:ser>
        <c:ser>
          <c:idx val="4"/>
          <c:order val="4"/>
          <c:tx>
            <c:strRef>
              <c:f>'Graphs NEW'!$B$208</c:f>
              <c:strCache>
                <c:ptCount val="1"/>
                <c:pt idx="0">
                  <c:v>Consumer</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NEW'!$C$208:$M$208</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2603-4881-9756-75009113529C}"/>
            </c:ext>
          </c:extLst>
        </c:ser>
        <c:ser>
          <c:idx val="5"/>
          <c:order val="5"/>
          <c:tx>
            <c:strRef>
              <c:f>'Graphs NEW'!$B$209</c:f>
              <c:strCache>
                <c:ptCount val="1"/>
                <c:pt idx="0">
                  <c:v>Child Care</c:v>
                </c:pt>
              </c:strCache>
            </c:strRef>
          </c:tx>
          <c:invertIfNegative val="0"/>
          <c:cat>
            <c:strRef>
              <c:f>'Graphs NEW'!$C$203:$M$203</c:f>
              <c:strCache>
                <c:ptCount val="6"/>
                <c:pt idx="0">
                  <c:v>FYE 2006</c:v>
                </c:pt>
                <c:pt idx="1">
                  <c:v>FYE 2007</c:v>
                </c:pt>
                <c:pt idx="2">
                  <c:v>FYE 2008</c:v>
                </c:pt>
                <c:pt idx="3">
                  <c:v>FYE 2009</c:v>
                </c:pt>
                <c:pt idx="4">
                  <c:v>FYE 2010</c:v>
                </c:pt>
                <c:pt idx="5">
                  <c:v>#REF!</c:v>
                </c:pt>
              </c:strCache>
            </c:strRef>
          </c:cat>
          <c:val>
            <c:numRef>
              <c:f>'Graphs NEW'!$C$209:$M$209</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2603-4881-9756-75009113529C}"/>
            </c:ext>
          </c:extLst>
        </c:ser>
        <c:dLbls>
          <c:showLegendKey val="0"/>
          <c:showVal val="0"/>
          <c:showCatName val="0"/>
          <c:showSerName val="0"/>
          <c:showPercent val="0"/>
          <c:showBubbleSize val="0"/>
        </c:dLbls>
        <c:gapWidth val="150"/>
        <c:overlap val="100"/>
        <c:axId val="318006080"/>
        <c:axId val="320100848"/>
      </c:barChart>
      <c:catAx>
        <c:axId val="318006080"/>
        <c:scaling>
          <c:orientation val="minMax"/>
        </c:scaling>
        <c:delete val="0"/>
        <c:axPos val="b"/>
        <c:numFmt formatCode="General" sourceLinked="1"/>
        <c:majorTickMark val="out"/>
        <c:minorTickMark val="none"/>
        <c:tickLblPos val="nextTo"/>
        <c:txPr>
          <a:bodyPr rot="0" vert="horz"/>
          <a:lstStyle/>
          <a:p>
            <a:pPr>
              <a:defRPr/>
            </a:pPr>
            <a:endParaRPr lang="en-US"/>
          </a:p>
        </c:txPr>
        <c:crossAx val="320100848"/>
        <c:crosses val="autoZero"/>
        <c:auto val="1"/>
        <c:lblAlgn val="ctr"/>
        <c:lblOffset val="100"/>
        <c:tickLblSkip val="1"/>
        <c:tickMarkSkip val="1"/>
        <c:noMultiLvlLbl val="0"/>
      </c:catAx>
      <c:valAx>
        <c:axId val="320100848"/>
        <c:scaling>
          <c:orientation val="minMax"/>
        </c:scaling>
        <c:delete val="0"/>
        <c:axPos val="l"/>
        <c:majorGridlines/>
        <c:title>
          <c:tx>
            <c:rich>
              <a:bodyPr/>
              <a:lstStyle/>
              <a:p>
                <a:pPr>
                  <a:defRPr/>
                </a:pPr>
                <a:r>
                  <a:rPr lang="en-US"/>
                  <a:t>Loans</a:t>
                </a:r>
                <a:r>
                  <a:rPr lang="en-US" baseline="0"/>
                  <a:t> Outstanding</a:t>
                </a:r>
                <a:endParaRPr lang="en-US"/>
              </a:p>
            </c:rich>
          </c:tx>
          <c:layout>
            <c:manualLayout>
              <c:xMode val="edge"/>
              <c:yMode val="edge"/>
              <c:x val="1.060331804874136E-2"/>
              <c:y val="0.28846903752415581"/>
            </c:manualLayout>
          </c:layout>
          <c:overlay val="0"/>
        </c:title>
        <c:numFmt formatCode="_(&quot;$&quot;* #,##0_);_(&quot;$&quot;* \(#,##0\);_(&quot;$&quot;* &quot;-&quot;??_);_(@_)" sourceLinked="1"/>
        <c:majorTickMark val="out"/>
        <c:minorTickMark val="none"/>
        <c:tickLblPos val="nextTo"/>
        <c:txPr>
          <a:bodyPr rot="0" vert="horz"/>
          <a:lstStyle/>
          <a:p>
            <a:pPr>
              <a:defRPr/>
            </a:pPr>
            <a:endParaRPr lang="en-US"/>
          </a:p>
        </c:txPr>
        <c:crossAx val="318006080"/>
        <c:crossesAt val="1"/>
        <c:crossBetween val="between"/>
      </c:valAx>
    </c:plotArea>
    <c:legend>
      <c:legendPos val="r"/>
      <c:layout>
        <c:manualLayout>
          <c:xMode val="edge"/>
          <c:yMode val="edge"/>
          <c:x val="0.74062840616909986"/>
          <c:y val="0.10520991882670615"/>
          <c:w val="0.1732973276472875"/>
          <c:h val="0.73489083078563711"/>
        </c:manualLayout>
      </c:layout>
      <c:overlay val="0"/>
    </c:legend>
    <c:plotVisOnly val="1"/>
    <c:dispBlanksAs val="gap"/>
    <c:showDLblsOverMax val="0"/>
  </c:chart>
  <c:spPr>
    <a:ln>
      <a:noFill/>
    </a:ln>
  </c:spPr>
  <c:printSettings>
    <c:headerFooter alignWithMargins="0"/>
    <c:pageMargins b="1" l="0.75000000000000244" r="0.750000000000002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7.7044025157232784E-2"/>
          <c:y val="7.8260869565217397E-2"/>
          <c:w val="0.61320754716981163"/>
          <c:h val="0.77971014492753621"/>
        </c:manualLayout>
      </c:layout>
      <c:barChart>
        <c:barDir val="col"/>
        <c:grouping val="stacked"/>
        <c:varyColors val="0"/>
        <c:ser>
          <c:idx val="0"/>
          <c:order val="0"/>
          <c:tx>
            <c:strRef>
              <c:f>'Graphs NEW'!$B$346</c:f>
              <c:strCache>
                <c:ptCount val="1"/>
                <c:pt idx="0">
                  <c:v>Other Earned Income</c:v>
                </c:pt>
              </c:strCache>
            </c:strRef>
          </c:tx>
          <c:invertIfNegative val="0"/>
          <c:cat>
            <c:strRef>
              <c:f>'Graphs NEW'!$C$345:$K$345</c:f>
              <c:strCache>
                <c:ptCount val="5"/>
                <c:pt idx="0">
                  <c:v>FY 200X</c:v>
                </c:pt>
                <c:pt idx="1">
                  <c:v>FY 200X</c:v>
                </c:pt>
                <c:pt idx="2">
                  <c:v>FY 200X</c:v>
                </c:pt>
                <c:pt idx="3">
                  <c:v>FY 200X</c:v>
                </c:pt>
                <c:pt idx="4">
                  <c:v>FY 200X</c:v>
                </c:pt>
              </c:strCache>
            </c:strRef>
          </c:cat>
          <c:val>
            <c:numRef>
              <c:f>'Graphs NEW'!$C$346:$K$346</c:f>
              <c:numCache>
                <c:formatCode>_("$"* #,##0_);_("$"* \(#,##0\);_("$"* "-"??_);_(@_)</c:formatCode>
                <c:ptCount val="5"/>
                <c:pt idx="0">
                  <c:v>50000</c:v>
                </c:pt>
                <c:pt idx="1">
                  <c:v>75000</c:v>
                </c:pt>
                <c:pt idx="2">
                  <c:v>80000</c:v>
                </c:pt>
                <c:pt idx="3">
                  <c:v>0</c:v>
                </c:pt>
                <c:pt idx="4">
                  <c:v>202000</c:v>
                </c:pt>
              </c:numCache>
            </c:numRef>
          </c:val>
          <c:extLst>
            <c:ext xmlns:c16="http://schemas.microsoft.com/office/drawing/2014/chart" uri="{C3380CC4-5D6E-409C-BE32-E72D297353CC}">
              <c16:uniqueId val="{00000000-9522-4239-BD8F-9744C2AE80E0}"/>
            </c:ext>
          </c:extLst>
        </c:ser>
        <c:ser>
          <c:idx val="1"/>
          <c:order val="1"/>
          <c:tx>
            <c:strRef>
              <c:f>'Graphs NEW'!$B$347</c:f>
              <c:strCache>
                <c:ptCount val="1"/>
                <c:pt idx="0">
                  <c:v>Government and Other Contract Revenue</c:v>
                </c:pt>
              </c:strCache>
            </c:strRef>
          </c:tx>
          <c:invertIfNegative val="0"/>
          <c:cat>
            <c:strRef>
              <c:f>'Graphs NEW'!$C$345:$K$345</c:f>
              <c:strCache>
                <c:ptCount val="5"/>
                <c:pt idx="0">
                  <c:v>FY 200X</c:v>
                </c:pt>
                <c:pt idx="1">
                  <c:v>FY 200X</c:v>
                </c:pt>
                <c:pt idx="2">
                  <c:v>FY 200X</c:v>
                </c:pt>
                <c:pt idx="3">
                  <c:v>FY 200X</c:v>
                </c:pt>
                <c:pt idx="4">
                  <c:v>FY 200X</c:v>
                </c:pt>
              </c:strCache>
            </c:strRef>
          </c:cat>
          <c:val>
            <c:numRef>
              <c:f>'Graphs NEW'!$C$347:$K$347</c:f>
              <c:numCache>
                <c:formatCode>_("$"* #,##0_);_("$"* \(#,##0\);_("$"* "-"??_);_(@_)</c:formatCode>
                <c:ptCount val="5"/>
                <c:pt idx="0">
                  <c:v>200000</c:v>
                </c:pt>
                <c:pt idx="1">
                  <c:v>300000</c:v>
                </c:pt>
                <c:pt idx="2">
                  <c:v>408000</c:v>
                </c:pt>
                <c:pt idx="3">
                  <c:v>0</c:v>
                </c:pt>
                <c:pt idx="4">
                  <c:v>250000</c:v>
                </c:pt>
              </c:numCache>
            </c:numRef>
          </c:val>
          <c:extLst>
            <c:ext xmlns:c16="http://schemas.microsoft.com/office/drawing/2014/chart" uri="{C3380CC4-5D6E-409C-BE32-E72D297353CC}">
              <c16:uniqueId val="{00000001-9522-4239-BD8F-9744C2AE80E0}"/>
            </c:ext>
          </c:extLst>
        </c:ser>
        <c:ser>
          <c:idx val="2"/>
          <c:order val="2"/>
          <c:tx>
            <c:strRef>
              <c:f>'Graphs NEW'!$B$348</c:f>
              <c:strCache>
                <c:ptCount val="1"/>
                <c:pt idx="0">
                  <c:v>Loan Fees</c:v>
                </c:pt>
              </c:strCache>
            </c:strRef>
          </c:tx>
          <c:invertIfNegative val="0"/>
          <c:cat>
            <c:strRef>
              <c:f>'Graphs NEW'!$C$345:$K$345</c:f>
              <c:strCache>
                <c:ptCount val="5"/>
                <c:pt idx="0">
                  <c:v>FY 200X</c:v>
                </c:pt>
                <c:pt idx="1">
                  <c:v>FY 200X</c:v>
                </c:pt>
                <c:pt idx="2">
                  <c:v>FY 200X</c:v>
                </c:pt>
                <c:pt idx="3">
                  <c:v>FY 200X</c:v>
                </c:pt>
                <c:pt idx="4">
                  <c:v>FY 200X</c:v>
                </c:pt>
              </c:strCache>
            </c:strRef>
          </c:cat>
          <c:val>
            <c:numRef>
              <c:f>'Graphs NEW'!$C$348:$K$348</c:f>
              <c:numCache>
                <c:formatCode>_("$"* #,##0_);_("$"* \(#,##0\);_("$"* "-"??_);_(@_)</c:formatCode>
                <c:ptCount val="5"/>
                <c:pt idx="0">
                  <c:v>25000</c:v>
                </c:pt>
                <c:pt idx="1">
                  <c:v>40000</c:v>
                </c:pt>
                <c:pt idx="2">
                  <c:v>55000</c:v>
                </c:pt>
                <c:pt idx="3">
                  <c:v>0</c:v>
                </c:pt>
                <c:pt idx="4">
                  <c:v>90000</c:v>
                </c:pt>
              </c:numCache>
            </c:numRef>
          </c:val>
          <c:extLst>
            <c:ext xmlns:c16="http://schemas.microsoft.com/office/drawing/2014/chart" uri="{C3380CC4-5D6E-409C-BE32-E72D297353CC}">
              <c16:uniqueId val="{00000002-9522-4239-BD8F-9744C2AE80E0}"/>
            </c:ext>
          </c:extLst>
        </c:ser>
        <c:ser>
          <c:idx val="3"/>
          <c:order val="3"/>
          <c:tx>
            <c:strRef>
              <c:f>'Graphs NEW'!$B$349</c:f>
              <c:strCache>
                <c:ptCount val="1"/>
                <c:pt idx="0">
                  <c:v>Earnings on Idle Funds, Interest, and Realized Gains (Losses)</c:v>
                </c:pt>
              </c:strCache>
            </c:strRef>
          </c:tx>
          <c:invertIfNegative val="0"/>
          <c:cat>
            <c:strRef>
              <c:f>'Graphs NEW'!$C$345:$K$345</c:f>
              <c:strCache>
                <c:ptCount val="5"/>
                <c:pt idx="0">
                  <c:v>FY 200X</c:v>
                </c:pt>
                <c:pt idx="1">
                  <c:v>FY 200X</c:v>
                </c:pt>
                <c:pt idx="2">
                  <c:v>FY 200X</c:v>
                </c:pt>
                <c:pt idx="3">
                  <c:v>FY 200X</c:v>
                </c:pt>
                <c:pt idx="4">
                  <c:v>FY 200X</c:v>
                </c:pt>
              </c:strCache>
            </c:strRef>
          </c:cat>
          <c:val>
            <c:numRef>
              <c:f>'Graphs NEW'!$C$349:$K$349</c:f>
              <c:numCache>
                <c:formatCode>_("$"* #,##0_);_("$"* \(#,##0\);_("$"* "-"??_);_(@_)</c:formatCode>
                <c:ptCount val="5"/>
                <c:pt idx="0">
                  <c:v>400</c:v>
                </c:pt>
                <c:pt idx="1">
                  <c:v>750</c:v>
                </c:pt>
                <c:pt idx="2">
                  <c:v>1000</c:v>
                </c:pt>
                <c:pt idx="3">
                  <c:v>0</c:v>
                </c:pt>
                <c:pt idx="4">
                  <c:v>1120</c:v>
                </c:pt>
              </c:numCache>
            </c:numRef>
          </c:val>
          <c:extLst>
            <c:ext xmlns:c16="http://schemas.microsoft.com/office/drawing/2014/chart" uri="{C3380CC4-5D6E-409C-BE32-E72D297353CC}">
              <c16:uniqueId val="{00000003-9522-4239-BD8F-9744C2AE80E0}"/>
            </c:ext>
          </c:extLst>
        </c:ser>
        <c:ser>
          <c:idx val="4"/>
          <c:order val="4"/>
          <c:tx>
            <c:strRef>
              <c:f>'Graphs NEW'!$B$350</c:f>
              <c:strCache>
                <c:ptCount val="1"/>
                <c:pt idx="0">
                  <c:v>Interest on Loans</c:v>
                </c:pt>
              </c:strCache>
            </c:strRef>
          </c:tx>
          <c:invertIfNegative val="0"/>
          <c:cat>
            <c:strRef>
              <c:f>'Graphs NEW'!$C$345:$K$345</c:f>
              <c:strCache>
                <c:ptCount val="5"/>
                <c:pt idx="0">
                  <c:v>FY 200X</c:v>
                </c:pt>
                <c:pt idx="1">
                  <c:v>FY 200X</c:v>
                </c:pt>
                <c:pt idx="2">
                  <c:v>FY 200X</c:v>
                </c:pt>
                <c:pt idx="3">
                  <c:v>FY 200X</c:v>
                </c:pt>
                <c:pt idx="4">
                  <c:v>FY 200X</c:v>
                </c:pt>
              </c:strCache>
            </c:strRef>
          </c:cat>
          <c:val>
            <c:numRef>
              <c:f>'Graphs NEW'!$C$350:$K$350</c:f>
              <c:numCache>
                <c:formatCode>_("$"* #,##0_);_("$"* \(#,##0\);_("$"* "-"??_);_(@_)</c:formatCode>
                <c:ptCount val="5"/>
                <c:pt idx="0">
                  <c:v>100000</c:v>
                </c:pt>
                <c:pt idx="1">
                  <c:v>125000</c:v>
                </c:pt>
                <c:pt idx="2">
                  <c:v>150000</c:v>
                </c:pt>
                <c:pt idx="3">
                  <c:v>0</c:v>
                </c:pt>
                <c:pt idx="4">
                  <c:v>200000</c:v>
                </c:pt>
              </c:numCache>
            </c:numRef>
          </c:val>
          <c:extLst>
            <c:ext xmlns:c16="http://schemas.microsoft.com/office/drawing/2014/chart" uri="{C3380CC4-5D6E-409C-BE32-E72D297353CC}">
              <c16:uniqueId val="{00000004-9522-4239-BD8F-9744C2AE80E0}"/>
            </c:ext>
          </c:extLst>
        </c:ser>
        <c:dLbls>
          <c:showLegendKey val="0"/>
          <c:showVal val="0"/>
          <c:showCatName val="0"/>
          <c:showSerName val="0"/>
          <c:showPercent val="0"/>
          <c:showBubbleSize val="0"/>
        </c:dLbls>
        <c:gapWidth val="150"/>
        <c:overlap val="100"/>
        <c:axId val="320120552"/>
        <c:axId val="321690816"/>
      </c:barChart>
      <c:catAx>
        <c:axId val="320120552"/>
        <c:scaling>
          <c:orientation val="minMax"/>
        </c:scaling>
        <c:delete val="0"/>
        <c:axPos val="b"/>
        <c:numFmt formatCode="General" sourceLinked="1"/>
        <c:majorTickMark val="out"/>
        <c:minorTickMark val="none"/>
        <c:tickLblPos val="nextTo"/>
        <c:txPr>
          <a:bodyPr rot="0" vert="horz"/>
          <a:lstStyle/>
          <a:p>
            <a:pPr>
              <a:defRPr/>
            </a:pPr>
            <a:endParaRPr lang="en-US"/>
          </a:p>
        </c:txPr>
        <c:crossAx val="321690816"/>
        <c:crosses val="autoZero"/>
        <c:auto val="1"/>
        <c:lblAlgn val="ctr"/>
        <c:lblOffset val="100"/>
        <c:tickLblSkip val="1"/>
        <c:tickMarkSkip val="1"/>
        <c:noMultiLvlLbl val="0"/>
      </c:catAx>
      <c:valAx>
        <c:axId val="321690816"/>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a:pPr>
            <a:endParaRPr lang="en-US"/>
          </a:p>
        </c:txPr>
        <c:crossAx val="320120552"/>
        <c:crosses val="autoZero"/>
        <c:crossBetween val="between"/>
      </c:valAx>
    </c:plotArea>
    <c:legend>
      <c:legendPos val="r"/>
      <c:layout>
        <c:manualLayout>
          <c:xMode val="edge"/>
          <c:yMode val="edge"/>
          <c:x val="0.74295551431867712"/>
          <c:y val="7.4784434554376902E-2"/>
          <c:w val="0.24346322951669358"/>
          <c:h val="0.78075027578074452"/>
        </c:manualLayout>
      </c:layout>
      <c:overlay val="0"/>
    </c:legend>
    <c:plotVisOnly val="1"/>
    <c:dispBlanksAs val="gap"/>
    <c:showDLblsOverMax val="0"/>
  </c:chart>
  <c:spPr>
    <a:ln>
      <a:noFill/>
    </a:ln>
  </c:spPr>
  <c:printSettings>
    <c:headerFooter alignWithMargins="0"/>
    <c:pageMargins b="1" l="0.75000000000000244" r="0.750000000000002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1229445432104559"/>
          <c:y val="7.8251014856512424E-2"/>
          <c:w val="0.64359806655644336"/>
          <c:h val="0.79089418587117777"/>
        </c:manualLayout>
      </c:layout>
      <c:barChart>
        <c:barDir val="col"/>
        <c:grouping val="stacked"/>
        <c:varyColors val="0"/>
        <c:ser>
          <c:idx val="0"/>
          <c:order val="0"/>
          <c:tx>
            <c:strRef>
              <c:f>'Graphs NEW'!$B$377</c:f>
              <c:strCache>
                <c:ptCount val="1"/>
                <c:pt idx="0">
                  <c:v>Other Operating Expenses</c:v>
                </c:pt>
              </c:strCache>
            </c:strRef>
          </c:tx>
          <c:invertIfNegative val="0"/>
          <c:cat>
            <c:strRef>
              <c:f>'Graphs NEW'!$C$376:$K$376</c:f>
              <c:strCache>
                <c:ptCount val="5"/>
                <c:pt idx="0">
                  <c:v>FY 200X</c:v>
                </c:pt>
                <c:pt idx="1">
                  <c:v>FY 200X</c:v>
                </c:pt>
                <c:pt idx="2">
                  <c:v>FY 200X</c:v>
                </c:pt>
                <c:pt idx="3">
                  <c:v>FY 200X</c:v>
                </c:pt>
                <c:pt idx="4">
                  <c:v>FY 200X</c:v>
                </c:pt>
              </c:strCache>
            </c:strRef>
          </c:cat>
          <c:val>
            <c:numRef>
              <c:f>'Graphs NEW'!$C$377:$K$377</c:f>
              <c:numCache>
                <c:formatCode>_("$"* #,##0_);_("$"* \(#,##0\);_("$"* "-"??_);_(@_)</c:formatCode>
                <c:ptCount val="5"/>
                <c:pt idx="0">
                  <c:v>160000</c:v>
                </c:pt>
                <c:pt idx="1">
                  <c:v>180000</c:v>
                </c:pt>
                <c:pt idx="2">
                  <c:v>300000</c:v>
                </c:pt>
                <c:pt idx="3">
                  <c:v>0</c:v>
                </c:pt>
                <c:pt idx="4">
                  <c:v>385350</c:v>
                </c:pt>
              </c:numCache>
            </c:numRef>
          </c:val>
          <c:extLst>
            <c:ext xmlns:c16="http://schemas.microsoft.com/office/drawing/2014/chart" uri="{C3380CC4-5D6E-409C-BE32-E72D297353CC}">
              <c16:uniqueId val="{00000000-4E22-485E-AB3C-8E4723181A17}"/>
            </c:ext>
          </c:extLst>
        </c:ser>
        <c:ser>
          <c:idx val="1"/>
          <c:order val="1"/>
          <c:tx>
            <c:strRef>
              <c:f>'Graphs NEW'!$B$378</c:f>
              <c:strCache>
                <c:ptCount val="1"/>
                <c:pt idx="0">
                  <c:v>Professional Services</c:v>
                </c:pt>
              </c:strCache>
            </c:strRef>
          </c:tx>
          <c:invertIfNegative val="0"/>
          <c:cat>
            <c:strRef>
              <c:f>'Graphs NEW'!$C$376:$K$376</c:f>
              <c:strCache>
                <c:ptCount val="5"/>
                <c:pt idx="0">
                  <c:v>FY 200X</c:v>
                </c:pt>
                <c:pt idx="1">
                  <c:v>FY 200X</c:v>
                </c:pt>
                <c:pt idx="2">
                  <c:v>FY 200X</c:v>
                </c:pt>
                <c:pt idx="3">
                  <c:v>FY 200X</c:v>
                </c:pt>
                <c:pt idx="4">
                  <c:v>FY 200X</c:v>
                </c:pt>
              </c:strCache>
            </c:strRef>
          </c:cat>
          <c:val>
            <c:numRef>
              <c:f>'Graphs NEW'!$C$378:$K$378</c:f>
              <c:numCache>
                <c:formatCode>_("$"* #,##0_);_("$"* \(#,##0\);_("$"* "-"??_);_(@_)</c:formatCode>
                <c:ptCount val="5"/>
                <c:pt idx="0">
                  <c:v>75000</c:v>
                </c:pt>
                <c:pt idx="1">
                  <c:v>100000</c:v>
                </c:pt>
                <c:pt idx="2">
                  <c:v>150000</c:v>
                </c:pt>
                <c:pt idx="3">
                  <c:v>0</c:v>
                </c:pt>
                <c:pt idx="4">
                  <c:v>155000</c:v>
                </c:pt>
              </c:numCache>
            </c:numRef>
          </c:val>
          <c:extLst>
            <c:ext xmlns:c16="http://schemas.microsoft.com/office/drawing/2014/chart" uri="{C3380CC4-5D6E-409C-BE32-E72D297353CC}">
              <c16:uniqueId val="{00000001-4E22-485E-AB3C-8E4723181A17}"/>
            </c:ext>
          </c:extLst>
        </c:ser>
        <c:ser>
          <c:idx val="2"/>
          <c:order val="2"/>
          <c:tx>
            <c:strRef>
              <c:f>'Graphs NEW'!$B$379</c:f>
              <c:strCache>
                <c:ptCount val="1"/>
                <c:pt idx="0">
                  <c:v>Loan Loss Allocation</c:v>
                </c:pt>
              </c:strCache>
            </c:strRef>
          </c:tx>
          <c:invertIfNegative val="0"/>
          <c:cat>
            <c:strRef>
              <c:f>'Graphs NEW'!$C$376:$K$376</c:f>
              <c:strCache>
                <c:ptCount val="5"/>
                <c:pt idx="0">
                  <c:v>FY 200X</c:v>
                </c:pt>
                <c:pt idx="1">
                  <c:v>FY 200X</c:v>
                </c:pt>
                <c:pt idx="2">
                  <c:v>FY 200X</c:v>
                </c:pt>
                <c:pt idx="3">
                  <c:v>FY 200X</c:v>
                </c:pt>
                <c:pt idx="4">
                  <c:v>FY 200X</c:v>
                </c:pt>
              </c:strCache>
            </c:strRef>
          </c:cat>
          <c:val>
            <c:numRef>
              <c:f>'Graphs NEW'!$C$379:$K$379</c:f>
              <c:numCache>
                <c:formatCode>_("$"* #,##0_);_("$"* \(#,##0\);_("$"* "-"??_);_(@_)</c:formatCode>
                <c:ptCount val="5"/>
                <c:pt idx="0">
                  <c:v>125000</c:v>
                </c:pt>
                <c:pt idx="1">
                  <c:v>150000</c:v>
                </c:pt>
                <c:pt idx="2">
                  <c:v>200000</c:v>
                </c:pt>
                <c:pt idx="3">
                  <c:v>0</c:v>
                </c:pt>
                <c:pt idx="4">
                  <c:v>125000</c:v>
                </c:pt>
              </c:numCache>
            </c:numRef>
          </c:val>
          <c:extLst>
            <c:ext xmlns:c16="http://schemas.microsoft.com/office/drawing/2014/chart" uri="{C3380CC4-5D6E-409C-BE32-E72D297353CC}">
              <c16:uniqueId val="{00000002-4E22-485E-AB3C-8E4723181A17}"/>
            </c:ext>
          </c:extLst>
        </c:ser>
        <c:ser>
          <c:idx val="3"/>
          <c:order val="3"/>
          <c:tx>
            <c:strRef>
              <c:f>'Graphs NEW'!$B$380</c:f>
              <c:strCache>
                <c:ptCount val="1"/>
                <c:pt idx="0">
                  <c:v>Interest Expense</c:v>
                </c:pt>
              </c:strCache>
            </c:strRef>
          </c:tx>
          <c:invertIfNegative val="0"/>
          <c:cat>
            <c:strRef>
              <c:f>'Graphs NEW'!$C$376:$K$376</c:f>
              <c:strCache>
                <c:ptCount val="5"/>
                <c:pt idx="0">
                  <c:v>FY 200X</c:v>
                </c:pt>
                <c:pt idx="1">
                  <c:v>FY 200X</c:v>
                </c:pt>
                <c:pt idx="2">
                  <c:v>FY 200X</c:v>
                </c:pt>
                <c:pt idx="3">
                  <c:v>FY 200X</c:v>
                </c:pt>
                <c:pt idx="4">
                  <c:v>FY 200X</c:v>
                </c:pt>
              </c:strCache>
            </c:strRef>
          </c:cat>
          <c:val>
            <c:numRef>
              <c:f>'Graphs NEW'!$C$380:$K$380</c:f>
              <c:numCache>
                <c:formatCode>_("$"* #,##0_);_("$"* \(#,##0\);_("$"* "-"??_);_(@_)</c:formatCode>
                <c:ptCount val="5"/>
                <c:pt idx="0">
                  <c:v>45000</c:v>
                </c:pt>
                <c:pt idx="1">
                  <c:v>60000</c:v>
                </c:pt>
                <c:pt idx="2">
                  <c:v>75000</c:v>
                </c:pt>
                <c:pt idx="3">
                  <c:v>0</c:v>
                </c:pt>
                <c:pt idx="4">
                  <c:v>90000</c:v>
                </c:pt>
              </c:numCache>
            </c:numRef>
          </c:val>
          <c:extLst>
            <c:ext xmlns:c16="http://schemas.microsoft.com/office/drawing/2014/chart" uri="{C3380CC4-5D6E-409C-BE32-E72D297353CC}">
              <c16:uniqueId val="{00000003-4E22-485E-AB3C-8E4723181A17}"/>
            </c:ext>
          </c:extLst>
        </c:ser>
        <c:ser>
          <c:idx val="4"/>
          <c:order val="4"/>
          <c:tx>
            <c:strRef>
              <c:f>'Graphs NEW'!$B$381</c:f>
              <c:strCache>
                <c:ptCount val="1"/>
                <c:pt idx="0">
                  <c:v>Personnel</c:v>
                </c:pt>
              </c:strCache>
            </c:strRef>
          </c:tx>
          <c:invertIfNegative val="0"/>
          <c:cat>
            <c:strRef>
              <c:f>'Graphs NEW'!$C$376:$K$376</c:f>
              <c:strCache>
                <c:ptCount val="5"/>
                <c:pt idx="0">
                  <c:v>FY 200X</c:v>
                </c:pt>
                <c:pt idx="1">
                  <c:v>FY 200X</c:v>
                </c:pt>
                <c:pt idx="2">
                  <c:v>FY 200X</c:v>
                </c:pt>
                <c:pt idx="3">
                  <c:v>FY 200X</c:v>
                </c:pt>
                <c:pt idx="4">
                  <c:v>FY 200X</c:v>
                </c:pt>
              </c:strCache>
            </c:strRef>
          </c:cat>
          <c:val>
            <c:numRef>
              <c:f>'Graphs NEW'!$C$381:$K$381</c:f>
              <c:numCache>
                <c:formatCode>_("$"* #,##0_);_("$"* \(#,##0\);_("$"* "-"??_);_(@_)</c:formatCode>
                <c:ptCount val="5"/>
                <c:pt idx="0">
                  <c:v>225000</c:v>
                </c:pt>
                <c:pt idx="1">
                  <c:v>325000</c:v>
                </c:pt>
                <c:pt idx="2">
                  <c:v>400000</c:v>
                </c:pt>
                <c:pt idx="3">
                  <c:v>0</c:v>
                </c:pt>
                <c:pt idx="4">
                  <c:v>575000</c:v>
                </c:pt>
              </c:numCache>
            </c:numRef>
          </c:val>
          <c:extLst>
            <c:ext xmlns:c16="http://schemas.microsoft.com/office/drawing/2014/chart" uri="{C3380CC4-5D6E-409C-BE32-E72D297353CC}">
              <c16:uniqueId val="{00000004-4E22-485E-AB3C-8E4723181A17}"/>
            </c:ext>
          </c:extLst>
        </c:ser>
        <c:dLbls>
          <c:showLegendKey val="0"/>
          <c:showVal val="0"/>
          <c:showCatName val="0"/>
          <c:showSerName val="0"/>
          <c:showPercent val="0"/>
          <c:showBubbleSize val="0"/>
        </c:dLbls>
        <c:gapWidth val="150"/>
        <c:overlap val="100"/>
        <c:axId val="321677112"/>
        <c:axId val="321677504"/>
      </c:barChart>
      <c:catAx>
        <c:axId val="321677112"/>
        <c:scaling>
          <c:orientation val="minMax"/>
        </c:scaling>
        <c:delete val="0"/>
        <c:axPos val="b"/>
        <c:numFmt formatCode="General" sourceLinked="1"/>
        <c:majorTickMark val="out"/>
        <c:minorTickMark val="none"/>
        <c:tickLblPos val="nextTo"/>
        <c:txPr>
          <a:bodyPr rot="0" vert="horz"/>
          <a:lstStyle/>
          <a:p>
            <a:pPr>
              <a:defRPr/>
            </a:pPr>
            <a:endParaRPr lang="en-US"/>
          </a:p>
        </c:txPr>
        <c:crossAx val="321677504"/>
        <c:crosses val="autoZero"/>
        <c:auto val="1"/>
        <c:lblAlgn val="ctr"/>
        <c:lblOffset val="100"/>
        <c:tickLblSkip val="1"/>
        <c:tickMarkSkip val="1"/>
        <c:noMultiLvlLbl val="0"/>
      </c:catAx>
      <c:valAx>
        <c:axId val="321677504"/>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a:pPr>
            <a:endParaRPr lang="en-US"/>
          </a:p>
        </c:txPr>
        <c:crossAx val="321677112"/>
        <c:crosses val="autoZero"/>
        <c:crossBetween val="between"/>
      </c:valAx>
    </c:plotArea>
    <c:legend>
      <c:legendPos val="r"/>
      <c:layout>
        <c:manualLayout>
          <c:xMode val="edge"/>
          <c:yMode val="edge"/>
          <c:x val="0.76762482788123465"/>
          <c:y val="0.15929667328169406"/>
          <c:w val="0.21620879732987541"/>
          <c:h val="0.60365064123082435"/>
        </c:manualLayout>
      </c:layout>
      <c:overlay val="0"/>
    </c:legend>
    <c:plotVisOnly val="1"/>
    <c:dispBlanksAs val="gap"/>
    <c:showDLblsOverMax val="0"/>
  </c:chart>
  <c:spPr>
    <a:ln>
      <a:noFill/>
    </a:ln>
  </c:spPr>
  <c:printSettings>
    <c:headerFooter alignWithMargins="0"/>
    <c:pageMargins b="1" l="0.75000000000000244" r="0.750000000000002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stacked"/>
        <c:varyColors val="0"/>
        <c:ser>
          <c:idx val="0"/>
          <c:order val="0"/>
          <c:tx>
            <c:strRef>
              <c:f>'Graphs NEW'!$B$282</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NEW'!$C$282:$M$282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F13-4CB9-BA53-49805EF6ABF3}"/>
            </c:ext>
          </c:extLst>
        </c:ser>
        <c:ser>
          <c:idx val="1"/>
          <c:order val="1"/>
          <c:tx>
            <c:strRef>
              <c:f>'Graphs NEW'!$B$283</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NEW'!$C$283:$M$283</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F13-4CB9-BA53-49805EF6ABF3}"/>
            </c:ext>
          </c:extLst>
        </c:ser>
        <c:ser>
          <c:idx val="2"/>
          <c:order val="2"/>
          <c:tx>
            <c:strRef>
              <c:f>'Graphs NEW'!$B$284</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NEW'!$C$284:$M$284</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F13-4CB9-BA53-49805EF6ABF3}"/>
            </c:ext>
          </c:extLst>
        </c:ser>
        <c:ser>
          <c:idx val="3"/>
          <c:order val="3"/>
          <c:tx>
            <c:strRef>
              <c:f>'Graphs NEW'!$B$285</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NEW'!$C$285:$M$285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F13-4CB9-BA53-49805EF6ABF3}"/>
            </c:ext>
          </c:extLst>
        </c:ser>
        <c:ser>
          <c:idx val="4"/>
          <c:order val="4"/>
          <c:tx>
            <c:strRef>
              <c:f>'Graphs NEW'!$B$286</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NEW'!$C$286:$M$286</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F13-4CB9-BA53-49805EF6ABF3}"/>
            </c:ext>
          </c:extLst>
        </c:ser>
        <c:ser>
          <c:idx val="5"/>
          <c:order val="5"/>
          <c:tx>
            <c:strRef>
              <c:f>'Graphs NEW'!$B$287</c:f>
              <c:strCache>
                <c:ptCount val="1"/>
                <c:pt idx="0">
                  <c:v>RR CATEGORY</c:v>
                </c:pt>
              </c:strCache>
            </c:strRef>
          </c:tx>
          <c:invertIfNegative val="0"/>
          <c:cat>
            <c:strRef>
              <c:f>'Graphs NEW'!$C$281:$M$281</c:f>
              <c:strCache>
                <c:ptCount val="6"/>
                <c:pt idx="0">
                  <c:v>FYE 2006</c:v>
                </c:pt>
                <c:pt idx="1">
                  <c:v>FYE 2007</c:v>
                </c:pt>
                <c:pt idx="2">
                  <c:v>FYE 2008</c:v>
                </c:pt>
                <c:pt idx="3">
                  <c:v>FYE 2009</c:v>
                </c:pt>
                <c:pt idx="4">
                  <c:v>FYE 2010</c:v>
                </c:pt>
                <c:pt idx="5">
                  <c:v>#REF!</c:v>
                </c:pt>
              </c:strCache>
            </c:strRef>
          </c:cat>
          <c:val>
            <c:numRef>
              <c:f>'Graphs NEW'!$C$287:$M$287</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FF13-4CB9-BA53-49805EF6ABF3}"/>
            </c:ext>
          </c:extLst>
        </c:ser>
        <c:dLbls>
          <c:showLegendKey val="0"/>
          <c:showVal val="0"/>
          <c:showCatName val="0"/>
          <c:showSerName val="0"/>
          <c:showPercent val="0"/>
          <c:showBubbleSize val="0"/>
        </c:dLbls>
        <c:gapWidth val="150"/>
        <c:overlap val="100"/>
        <c:axId val="321678288"/>
        <c:axId val="321678680"/>
      </c:barChart>
      <c:catAx>
        <c:axId val="321678288"/>
        <c:scaling>
          <c:orientation val="minMax"/>
        </c:scaling>
        <c:delete val="0"/>
        <c:axPos val="b"/>
        <c:numFmt formatCode="General" sourceLinked="1"/>
        <c:majorTickMark val="out"/>
        <c:minorTickMark val="none"/>
        <c:tickLblPos val="nextTo"/>
        <c:crossAx val="321678680"/>
        <c:crosses val="autoZero"/>
        <c:auto val="1"/>
        <c:lblAlgn val="ctr"/>
        <c:lblOffset val="100"/>
        <c:noMultiLvlLbl val="0"/>
      </c:catAx>
      <c:valAx>
        <c:axId val="321678680"/>
        <c:scaling>
          <c:orientation val="minMax"/>
        </c:scaling>
        <c:delete val="0"/>
        <c:axPos val="l"/>
        <c:majorGridlines/>
        <c:numFmt formatCode="0%" sourceLinked="1"/>
        <c:majorTickMark val="out"/>
        <c:minorTickMark val="none"/>
        <c:tickLblPos val="nextTo"/>
        <c:crossAx val="321678288"/>
        <c:crosses val="autoZero"/>
        <c:crossBetween val="between"/>
      </c:valAx>
    </c:plotArea>
    <c:legend>
      <c:legendPos val="r"/>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Tahoma"/>
                <a:ea typeface="Tahoma"/>
                <a:cs typeface="Tahoma"/>
              </a:defRPr>
            </a:pPr>
            <a:r>
              <a:t>Capitalization</a:t>
            </a:r>
          </a:p>
        </c:rich>
      </c:tx>
      <c:layout>
        <c:manualLayout>
          <c:xMode val="edge"/>
          <c:yMode val="edge"/>
          <c:x val="0.42541513802487541"/>
          <c:y val="4.0909090909090923E-2"/>
        </c:manualLayout>
      </c:layout>
      <c:overlay val="0"/>
      <c:spPr>
        <a:noFill/>
        <a:ln w="25400">
          <a:noFill/>
        </a:ln>
      </c:spPr>
    </c:title>
    <c:autoTitleDeleted val="0"/>
    <c:plotArea>
      <c:layout>
        <c:manualLayout>
          <c:layoutTarget val="inner"/>
          <c:xMode val="edge"/>
          <c:yMode val="edge"/>
          <c:x val="0.12138944793342116"/>
          <c:y val="0.27684320420714681"/>
          <c:w val="0.46532621707811561"/>
          <c:h val="0.50676383143003123"/>
        </c:manualLayout>
      </c:layout>
      <c:lineChart>
        <c:grouping val="standard"/>
        <c:varyColors val="0"/>
        <c:ser>
          <c:idx val="0"/>
          <c:order val="0"/>
          <c:tx>
            <c:strRef>
              <c:f>Graphs!$B$4</c:f>
              <c:strCache>
                <c:ptCount val="1"/>
                <c:pt idx="0">
                  <c:v> Total Assets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Graphs!$C$3:$K$3</c:f>
              <c:numCache>
                <c:formatCode>m/d/yyyy</c:formatCode>
                <c:ptCount val="5"/>
                <c:pt idx="0">
                  <c:v>40908</c:v>
                </c:pt>
                <c:pt idx="1">
                  <c:v>41274</c:v>
                </c:pt>
                <c:pt idx="2">
                  <c:v>41639</c:v>
                </c:pt>
                <c:pt idx="3">
                  <c:v>0</c:v>
                </c:pt>
                <c:pt idx="4">
                  <c:v>42004</c:v>
                </c:pt>
              </c:numCache>
            </c:numRef>
          </c:cat>
          <c:val>
            <c:numRef>
              <c:f>Graphs!$C$4:$K$4</c:f>
              <c:numCache>
                <c:formatCode>_("$"* #,##0_);_("$"* \(#,##0\);_("$"* "-"??_);_(@_)</c:formatCode>
                <c:ptCount val="5"/>
                <c:pt idx="0">
                  <c:v>4796000</c:v>
                </c:pt>
                <c:pt idx="1">
                  <c:v>5777000</c:v>
                </c:pt>
                <c:pt idx="2">
                  <c:v>6656000</c:v>
                </c:pt>
                <c:pt idx="3">
                  <c:v>0</c:v>
                </c:pt>
                <c:pt idx="4">
                  <c:v>8064750</c:v>
                </c:pt>
              </c:numCache>
            </c:numRef>
          </c:val>
          <c:smooth val="0"/>
          <c:extLst>
            <c:ext xmlns:c16="http://schemas.microsoft.com/office/drawing/2014/chart" uri="{C3380CC4-5D6E-409C-BE32-E72D297353CC}">
              <c16:uniqueId val="{00000000-1851-45D1-BD87-3CE8BA1A9D76}"/>
            </c:ext>
          </c:extLst>
        </c:ser>
        <c:ser>
          <c:idx val="1"/>
          <c:order val="1"/>
          <c:tx>
            <c:strRef>
              <c:f>Graphs!$B$5</c:f>
              <c:strCache>
                <c:ptCount val="1"/>
                <c:pt idx="0">
                  <c:v> Total Net Assets </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Graphs!$C$3:$K$3</c:f>
              <c:numCache>
                <c:formatCode>m/d/yyyy</c:formatCode>
                <c:ptCount val="5"/>
                <c:pt idx="0">
                  <c:v>40908</c:v>
                </c:pt>
                <c:pt idx="1">
                  <c:v>41274</c:v>
                </c:pt>
                <c:pt idx="2">
                  <c:v>41639</c:v>
                </c:pt>
                <c:pt idx="3">
                  <c:v>0</c:v>
                </c:pt>
                <c:pt idx="4">
                  <c:v>42004</c:v>
                </c:pt>
              </c:numCache>
            </c:numRef>
          </c:cat>
          <c:val>
            <c:numRef>
              <c:f>Graphs!$C$5:$K$5</c:f>
              <c:numCache>
                <c:formatCode>_(* #,##0_);_(* \(#,##0\);_(* "-"??_);_(@_)</c:formatCode>
                <c:ptCount val="5"/>
                <c:pt idx="0">
                  <c:v>1968000</c:v>
                </c:pt>
                <c:pt idx="1">
                  <c:v>2332000</c:v>
                </c:pt>
                <c:pt idx="2">
                  <c:v>2441000</c:v>
                </c:pt>
                <c:pt idx="3">
                  <c:v>0</c:v>
                </c:pt>
                <c:pt idx="4">
                  <c:v>2443750</c:v>
                </c:pt>
              </c:numCache>
            </c:numRef>
          </c:val>
          <c:smooth val="0"/>
          <c:extLst>
            <c:ext xmlns:c16="http://schemas.microsoft.com/office/drawing/2014/chart" uri="{C3380CC4-5D6E-409C-BE32-E72D297353CC}">
              <c16:uniqueId val="{00000001-1851-45D1-BD87-3CE8BA1A9D76}"/>
            </c:ext>
          </c:extLst>
        </c:ser>
        <c:ser>
          <c:idx val="2"/>
          <c:order val="2"/>
          <c:tx>
            <c:strRef>
              <c:f>Graphs!$B$6</c:f>
              <c:strCache>
                <c:ptCount val="1"/>
                <c:pt idx="0">
                  <c:v>Unrestricted Net Assets</c:v>
                </c:pt>
              </c:strCache>
            </c:strRef>
          </c:tx>
          <c:spPr>
            <a:ln w="12700">
              <a:solidFill>
                <a:srgbClr val="000000"/>
              </a:solidFill>
              <a:prstDash val="solid"/>
            </a:ln>
          </c:spPr>
          <c:marker>
            <c:symbol val="triangle"/>
            <c:size val="5"/>
            <c:spPr>
              <a:solidFill>
                <a:srgbClr val="000000"/>
              </a:solidFill>
              <a:ln>
                <a:solidFill>
                  <a:srgbClr val="000000"/>
                </a:solidFill>
                <a:prstDash val="solid"/>
              </a:ln>
            </c:spPr>
          </c:marker>
          <c:cat>
            <c:numRef>
              <c:f>Graphs!$C$3:$K$3</c:f>
              <c:numCache>
                <c:formatCode>m/d/yyyy</c:formatCode>
                <c:ptCount val="5"/>
                <c:pt idx="0">
                  <c:v>40908</c:v>
                </c:pt>
                <c:pt idx="1">
                  <c:v>41274</c:v>
                </c:pt>
                <c:pt idx="2">
                  <c:v>41639</c:v>
                </c:pt>
                <c:pt idx="3">
                  <c:v>0</c:v>
                </c:pt>
                <c:pt idx="4">
                  <c:v>42004</c:v>
                </c:pt>
              </c:numCache>
            </c:numRef>
          </c:cat>
          <c:val>
            <c:numRef>
              <c:f>Graphs!$C$6:$K$6</c:f>
              <c:numCache>
                <c:formatCode>_(* #,##0_);_(* \(#,##0\);_(* "-"??_);_(@_)</c:formatCode>
                <c:ptCount val="5"/>
                <c:pt idx="0">
                  <c:v>1468000</c:v>
                </c:pt>
                <c:pt idx="1">
                  <c:v>1532000</c:v>
                </c:pt>
                <c:pt idx="2">
                  <c:v>1741000</c:v>
                </c:pt>
                <c:pt idx="3">
                  <c:v>0</c:v>
                </c:pt>
                <c:pt idx="4">
                  <c:v>1443750</c:v>
                </c:pt>
              </c:numCache>
            </c:numRef>
          </c:val>
          <c:smooth val="0"/>
          <c:extLst>
            <c:ext xmlns:c16="http://schemas.microsoft.com/office/drawing/2014/chart" uri="{C3380CC4-5D6E-409C-BE32-E72D297353CC}">
              <c16:uniqueId val="{00000002-1851-45D1-BD87-3CE8BA1A9D76}"/>
            </c:ext>
          </c:extLst>
        </c:ser>
        <c:dLbls>
          <c:showLegendKey val="0"/>
          <c:showVal val="0"/>
          <c:showCatName val="0"/>
          <c:showSerName val="0"/>
          <c:showPercent val="0"/>
          <c:showBubbleSize val="0"/>
        </c:dLbls>
        <c:marker val="1"/>
        <c:smooth val="0"/>
        <c:axId val="321679464"/>
        <c:axId val="321679856"/>
      </c:lineChart>
      <c:dateAx>
        <c:axId val="321679464"/>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Tahoma"/>
                <a:ea typeface="Tahoma"/>
                <a:cs typeface="Tahoma"/>
              </a:defRPr>
            </a:pPr>
            <a:endParaRPr lang="en-US"/>
          </a:p>
        </c:txPr>
        <c:crossAx val="321679856"/>
        <c:crosses val="autoZero"/>
        <c:auto val="1"/>
        <c:lblOffset val="100"/>
        <c:baseTimeUnit val="years"/>
        <c:majorUnit val="2"/>
        <c:minorUnit val="1"/>
      </c:dateAx>
      <c:valAx>
        <c:axId val="321679856"/>
        <c:scaling>
          <c:orientation val="minMax"/>
        </c:scaling>
        <c:delete val="0"/>
        <c:axPos val="l"/>
        <c:majorGridlines>
          <c:spPr>
            <a:ln w="3175">
              <a:solidFill>
                <a:srgbClr val="000000"/>
              </a:solidFill>
              <a:prstDash val="solid"/>
            </a:ln>
          </c:spPr>
        </c:majorGridlines>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Tahoma"/>
                <a:ea typeface="Tahoma"/>
                <a:cs typeface="Tahoma"/>
              </a:defRPr>
            </a:pPr>
            <a:endParaRPr lang="en-US"/>
          </a:p>
        </c:txPr>
        <c:crossAx val="321679464"/>
        <c:crosses val="autoZero"/>
        <c:crossBetween val="midCat"/>
      </c:valAx>
      <c:spPr>
        <a:noFill/>
        <a:ln w="12700">
          <a:solidFill>
            <a:srgbClr val="808080"/>
          </a:solidFill>
          <a:prstDash val="solid"/>
        </a:ln>
      </c:spPr>
    </c:plotArea>
    <c:legend>
      <c:legendPos val="r"/>
      <c:layout>
        <c:manualLayout>
          <c:xMode val="edge"/>
          <c:yMode val="edge"/>
          <c:wMode val="edge"/>
          <c:hMode val="edge"/>
          <c:x val="0.65108877964840384"/>
          <c:y val="0.36599618229539488"/>
          <c:w val="0.98399017802332722"/>
          <c:h val="0.68506991171558163"/>
        </c:manualLayout>
      </c:layout>
      <c:overlay val="0"/>
      <c:spPr>
        <a:solidFill>
          <a:srgbClr val="FFFFFF"/>
        </a:solidFill>
        <a:ln w="3175">
          <a:solidFill>
            <a:srgbClr val="000000"/>
          </a:solidFill>
          <a:prstDash val="solid"/>
        </a:ln>
      </c:spPr>
      <c:txPr>
        <a:bodyPr/>
        <a:lstStyle/>
        <a:p>
          <a:pPr>
            <a:defRPr sz="90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062111801242234"/>
          <c:y val="4.6153846153846163E-2"/>
        </c:manualLayout>
      </c:layout>
      <c:overlay val="0"/>
      <c:spPr>
        <a:noFill/>
        <a:ln w="25400">
          <a:noFill/>
        </a:ln>
      </c:spPr>
      <c:txPr>
        <a:bodyPr/>
        <a:lstStyle/>
        <a:p>
          <a:pPr>
            <a:defRPr sz="1000" b="0" i="0" u="none" strike="noStrike" baseline="0">
              <a:solidFill>
                <a:srgbClr val="000000"/>
              </a:solidFill>
              <a:latin typeface="Tahoma"/>
              <a:ea typeface="Tahoma"/>
              <a:cs typeface="Tahoma"/>
            </a:defRPr>
          </a:pPr>
          <a:endParaRPr lang="en-US"/>
        </a:p>
      </c:txPr>
    </c:title>
    <c:autoTitleDeleted val="0"/>
    <c:plotArea>
      <c:layout>
        <c:manualLayout>
          <c:layoutTarget val="inner"/>
          <c:xMode val="edge"/>
          <c:yMode val="edge"/>
          <c:x val="9.7826086956521729E-2"/>
          <c:y val="0.28718092538524626"/>
          <c:w val="0.58385093167701851"/>
          <c:h val="0.48205369618237282"/>
        </c:manualLayout>
      </c:layout>
      <c:lineChart>
        <c:grouping val="standard"/>
        <c:varyColors val="0"/>
        <c:ser>
          <c:idx val="0"/>
          <c:order val="0"/>
          <c:tx>
            <c:strRef>
              <c:f>Graphs!$B$27</c:f>
              <c:strCache>
                <c:ptCount val="1"/>
                <c:pt idx="0">
                  <c:v> Loan Portfolio (Gross)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Graphs!$C$26:$K$26</c:f>
              <c:numCache>
                <c:formatCode>m/d/yyyy</c:formatCode>
                <c:ptCount val="5"/>
                <c:pt idx="0">
                  <c:v>40908</c:v>
                </c:pt>
                <c:pt idx="1">
                  <c:v>41274</c:v>
                </c:pt>
                <c:pt idx="2">
                  <c:v>41639</c:v>
                </c:pt>
                <c:pt idx="3">
                  <c:v>0</c:v>
                </c:pt>
                <c:pt idx="4">
                  <c:v>42004</c:v>
                </c:pt>
              </c:numCache>
            </c:numRef>
          </c:cat>
          <c:val>
            <c:numRef>
              <c:f>Graphs!$C$27:$K$27</c:f>
              <c:numCache>
                <c:formatCode>_("$"* #,##0_);_("$"* \(#,##0\);_("$"* "-"??_);_(@_)</c:formatCode>
                <c:ptCount val="5"/>
                <c:pt idx="0">
                  <c:v>3550000</c:v>
                </c:pt>
                <c:pt idx="1">
                  <c:v>4050000</c:v>
                </c:pt>
                <c:pt idx="2">
                  <c:v>4875000</c:v>
                </c:pt>
                <c:pt idx="3">
                  <c:v>0</c:v>
                </c:pt>
                <c:pt idx="4">
                  <c:v>5025000</c:v>
                </c:pt>
              </c:numCache>
            </c:numRef>
          </c:val>
          <c:smooth val="0"/>
          <c:extLst>
            <c:ext xmlns:c16="http://schemas.microsoft.com/office/drawing/2014/chart" uri="{C3380CC4-5D6E-409C-BE32-E72D297353CC}">
              <c16:uniqueId val="{00000000-F1E0-446A-A780-552FEC887ACB}"/>
            </c:ext>
          </c:extLst>
        </c:ser>
        <c:dLbls>
          <c:showLegendKey val="0"/>
          <c:showVal val="0"/>
          <c:showCatName val="0"/>
          <c:showSerName val="0"/>
          <c:showPercent val="0"/>
          <c:showBubbleSize val="0"/>
        </c:dLbls>
        <c:marker val="1"/>
        <c:smooth val="0"/>
        <c:axId val="320607880"/>
        <c:axId val="320608272"/>
      </c:lineChart>
      <c:dateAx>
        <c:axId val="320607880"/>
        <c:scaling>
          <c:orientation val="minMax"/>
        </c:scaling>
        <c:delete val="0"/>
        <c:axPos val="b"/>
        <c:numFmt formatCode="mmm\-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20608272"/>
        <c:crosses val="autoZero"/>
        <c:auto val="1"/>
        <c:lblOffset val="100"/>
        <c:baseTimeUnit val="years"/>
        <c:majorUnit val="1"/>
        <c:minorUnit val="1"/>
      </c:dateAx>
      <c:valAx>
        <c:axId val="320608272"/>
        <c:scaling>
          <c:orientation val="minMax"/>
        </c:scaling>
        <c:delete val="0"/>
        <c:axPos val="l"/>
        <c:majorGridlines>
          <c:spPr>
            <a:ln w="3175">
              <a:solidFill>
                <a:srgbClr val="000000"/>
              </a:solidFill>
              <a:prstDash val="solid"/>
            </a:ln>
          </c:spPr>
        </c:majorGridlines>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ahoma"/>
                <a:ea typeface="Tahoma"/>
                <a:cs typeface="Tahoma"/>
              </a:defRPr>
            </a:pPr>
            <a:endParaRPr lang="en-US"/>
          </a:p>
        </c:txPr>
        <c:crossAx val="320607880"/>
        <c:crosses val="autoZero"/>
        <c:crossBetween val="between"/>
      </c:valAx>
      <c:spPr>
        <a:noFill/>
        <a:ln w="12700">
          <a:solidFill>
            <a:srgbClr val="808080"/>
          </a:solidFill>
          <a:prstDash val="solid"/>
        </a:ln>
      </c:spPr>
    </c:plotArea>
    <c:legend>
      <c:legendPos val="r"/>
      <c:layout>
        <c:manualLayout>
          <c:xMode val="edge"/>
          <c:yMode val="edge"/>
          <c:wMode val="edge"/>
          <c:hMode val="edge"/>
          <c:x val="0.73501801405259415"/>
          <c:y val="0.47998815532673911"/>
          <c:w val="0.98777734304951004"/>
          <c:h val="0.59602934248603534"/>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Tahoma"/>
              <a:ea typeface="Tahoma"/>
              <a:cs typeface="Tahom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ahoma"/>
          <a:ea typeface="Tahoma"/>
          <a:cs typeface="Tahoma"/>
        </a:defRPr>
      </a:pPr>
      <a:endParaRPr lang="en-US"/>
    </a:p>
  </c:txPr>
  <c:printSettings>
    <c:headerFooter alignWithMargins="0"/>
    <c:pageMargins b="1" l="0.75000000000000244" r="0.75000000000000244"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20</xdr:col>
      <xdr:colOff>76200</xdr:colOff>
      <xdr:row>11</xdr:row>
      <xdr:rowOff>123825</xdr:rowOff>
    </xdr:from>
    <xdr:to>
      <xdr:col>20</xdr:col>
      <xdr:colOff>180975</xdr:colOff>
      <xdr:row>13</xdr:row>
      <xdr:rowOff>9525</xdr:rowOff>
    </xdr:to>
    <xdr:sp macro="" textlink="">
      <xdr:nvSpPr>
        <xdr:cNvPr id="1214" name="Text Box 128">
          <a:extLst>
            <a:ext uri="{FF2B5EF4-FFF2-40B4-BE49-F238E27FC236}">
              <a16:creationId xmlns:a16="http://schemas.microsoft.com/office/drawing/2014/main" id="{00000000-0008-0000-0400-0000BE040000}"/>
            </a:ext>
          </a:extLst>
        </xdr:cNvPr>
        <xdr:cNvSpPr txBox="1">
          <a:spLocks noChangeArrowheads="1"/>
        </xdr:cNvSpPr>
      </xdr:nvSpPr>
      <xdr:spPr bwMode="auto">
        <a:xfrm>
          <a:off x="14401800" y="2000250"/>
          <a:ext cx="104775" cy="20955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19</xdr:row>
      <xdr:rowOff>47625</xdr:rowOff>
    </xdr:from>
    <xdr:to>
      <xdr:col>8</xdr:col>
      <xdr:colOff>723900</xdr:colOff>
      <xdr:row>37</xdr:row>
      <xdr:rowOff>0</xdr:rowOff>
    </xdr:to>
    <xdr:graphicFrame macro="">
      <xdr:nvGraphicFramePr>
        <xdr:cNvPr id="9707" name="Chart 1">
          <a:extLst>
            <a:ext uri="{FF2B5EF4-FFF2-40B4-BE49-F238E27FC236}">
              <a16:creationId xmlns:a16="http://schemas.microsoft.com/office/drawing/2014/main" id="{00000000-0008-0000-0700-0000EB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61</xdr:row>
      <xdr:rowOff>85725</xdr:rowOff>
    </xdr:from>
    <xdr:to>
      <xdr:col>12</xdr:col>
      <xdr:colOff>504825</xdr:colOff>
      <xdr:row>84</xdr:row>
      <xdr:rowOff>76200</xdr:rowOff>
    </xdr:to>
    <xdr:graphicFrame macro="">
      <xdr:nvGraphicFramePr>
        <xdr:cNvPr id="9708" name="Chart 2">
          <a:extLst>
            <a:ext uri="{FF2B5EF4-FFF2-40B4-BE49-F238E27FC236}">
              <a16:creationId xmlns:a16="http://schemas.microsoft.com/office/drawing/2014/main" id="{00000000-0008-0000-0700-0000EC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514350</xdr:colOff>
      <xdr:row>142</xdr:row>
      <xdr:rowOff>85725</xdr:rowOff>
    </xdr:from>
    <xdr:to>
      <xdr:col>10</xdr:col>
      <xdr:colOff>533400</xdr:colOff>
      <xdr:row>164</xdr:row>
      <xdr:rowOff>0</xdr:rowOff>
    </xdr:to>
    <xdr:graphicFrame macro="">
      <xdr:nvGraphicFramePr>
        <xdr:cNvPr id="9710" name="Chart 4">
          <a:extLst>
            <a:ext uri="{FF2B5EF4-FFF2-40B4-BE49-F238E27FC236}">
              <a16:creationId xmlns:a16="http://schemas.microsoft.com/office/drawing/2014/main" id="{00000000-0008-0000-0700-0000EE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179293</xdr:colOff>
      <xdr:row>179</xdr:row>
      <xdr:rowOff>112058</xdr:rowOff>
    </xdr:from>
    <xdr:to>
      <xdr:col>12</xdr:col>
      <xdr:colOff>537881</xdr:colOff>
      <xdr:row>200</xdr:row>
      <xdr:rowOff>66674</xdr:rowOff>
    </xdr:to>
    <xdr:graphicFrame macro="">
      <xdr:nvGraphicFramePr>
        <xdr:cNvPr id="9711" name="Chart 7">
          <a:extLst>
            <a:ext uri="{FF2B5EF4-FFF2-40B4-BE49-F238E27FC236}">
              <a16:creationId xmlns:a16="http://schemas.microsoft.com/office/drawing/2014/main" id="{00000000-0008-0000-0700-0000EF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323</xdr:row>
      <xdr:rowOff>57150</xdr:rowOff>
    </xdr:from>
    <xdr:to>
      <xdr:col>10</xdr:col>
      <xdr:colOff>581025</xdr:colOff>
      <xdr:row>343</xdr:row>
      <xdr:rowOff>104775</xdr:rowOff>
    </xdr:to>
    <xdr:graphicFrame macro="">
      <xdr:nvGraphicFramePr>
        <xdr:cNvPr id="9712" name="Chart 8">
          <a:extLst>
            <a:ext uri="{FF2B5EF4-FFF2-40B4-BE49-F238E27FC236}">
              <a16:creationId xmlns:a16="http://schemas.microsoft.com/office/drawing/2014/main" id="{00000000-0008-0000-0700-0000F0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76200</xdr:colOff>
      <xdr:row>353</xdr:row>
      <xdr:rowOff>0</xdr:rowOff>
    </xdr:from>
    <xdr:to>
      <xdr:col>10</xdr:col>
      <xdr:colOff>247650</xdr:colOff>
      <xdr:row>374</xdr:row>
      <xdr:rowOff>114300</xdr:rowOff>
    </xdr:to>
    <xdr:graphicFrame macro="">
      <xdr:nvGraphicFramePr>
        <xdr:cNvPr id="9713" name="Chart 9">
          <a:extLst>
            <a:ext uri="{FF2B5EF4-FFF2-40B4-BE49-F238E27FC236}">
              <a16:creationId xmlns:a16="http://schemas.microsoft.com/office/drawing/2014/main" id="{00000000-0008-0000-0700-0000F1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714375</xdr:colOff>
      <xdr:row>259</xdr:row>
      <xdr:rowOff>104775</xdr:rowOff>
    </xdr:from>
    <xdr:to>
      <xdr:col>12</xdr:col>
      <xdr:colOff>647700</xdr:colOff>
      <xdr:row>278</xdr:row>
      <xdr:rowOff>123825</xdr:rowOff>
    </xdr:to>
    <xdr:graphicFrame macro="">
      <xdr:nvGraphicFramePr>
        <xdr:cNvPr id="9714" name="Chart 8">
          <a:extLst>
            <a:ext uri="{FF2B5EF4-FFF2-40B4-BE49-F238E27FC236}">
              <a16:creationId xmlns:a16="http://schemas.microsoft.com/office/drawing/2014/main" id="{00000000-0008-0000-0700-0000F2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1066800</xdr:colOff>
      <xdr:row>7</xdr:row>
      <xdr:rowOff>28575</xdr:rowOff>
    </xdr:from>
    <xdr:to>
      <xdr:col>12</xdr:col>
      <xdr:colOff>114300</xdr:colOff>
      <xdr:row>20</xdr:row>
      <xdr:rowOff>19050</xdr:rowOff>
    </xdr:to>
    <xdr:graphicFrame macro="">
      <xdr:nvGraphicFramePr>
        <xdr:cNvPr id="8901" name="Chart 1">
          <a:extLst>
            <a:ext uri="{FF2B5EF4-FFF2-40B4-BE49-F238E27FC236}">
              <a16:creationId xmlns:a16="http://schemas.microsoft.com/office/drawing/2014/main" id="{00000000-0008-0000-0800-0000C5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1028700</xdr:colOff>
      <xdr:row>28</xdr:row>
      <xdr:rowOff>19050</xdr:rowOff>
    </xdr:from>
    <xdr:to>
      <xdr:col>14</xdr:col>
      <xdr:colOff>504825</xdr:colOff>
      <xdr:row>39</xdr:row>
      <xdr:rowOff>95250</xdr:rowOff>
    </xdr:to>
    <xdr:graphicFrame macro="">
      <xdr:nvGraphicFramePr>
        <xdr:cNvPr id="8902" name="Chart 2">
          <a:extLst>
            <a:ext uri="{FF2B5EF4-FFF2-40B4-BE49-F238E27FC236}">
              <a16:creationId xmlns:a16="http://schemas.microsoft.com/office/drawing/2014/main" id="{00000000-0008-0000-0800-0000C6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50</xdr:row>
      <xdr:rowOff>95250</xdr:rowOff>
    </xdr:from>
    <xdr:to>
      <xdr:col>12</xdr:col>
      <xdr:colOff>495300</xdr:colOff>
      <xdr:row>65</xdr:row>
      <xdr:rowOff>152400</xdr:rowOff>
    </xdr:to>
    <xdr:graphicFrame macro="">
      <xdr:nvGraphicFramePr>
        <xdr:cNvPr id="8903" name="Chart 3">
          <a:extLst>
            <a:ext uri="{FF2B5EF4-FFF2-40B4-BE49-F238E27FC236}">
              <a16:creationId xmlns:a16="http://schemas.microsoft.com/office/drawing/2014/main" id="{00000000-0008-0000-0800-0000C7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1076325</xdr:colOff>
      <xdr:row>96</xdr:row>
      <xdr:rowOff>38100</xdr:rowOff>
    </xdr:from>
    <xdr:to>
      <xdr:col>12</xdr:col>
      <xdr:colOff>419100</xdr:colOff>
      <xdr:row>111</xdr:row>
      <xdr:rowOff>95250</xdr:rowOff>
    </xdr:to>
    <xdr:graphicFrame macro="">
      <xdr:nvGraphicFramePr>
        <xdr:cNvPr id="8904" name="Chart 4">
          <a:extLst>
            <a:ext uri="{FF2B5EF4-FFF2-40B4-BE49-F238E27FC236}">
              <a16:creationId xmlns:a16="http://schemas.microsoft.com/office/drawing/2014/main" id="{00000000-0008-0000-0800-0000C8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1552575</xdr:colOff>
      <xdr:row>73</xdr:row>
      <xdr:rowOff>123825</xdr:rowOff>
    </xdr:from>
    <xdr:to>
      <xdr:col>12</xdr:col>
      <xdr:colOff>361950</xdr:colOff>
      <xdr:row>89</xdr:row>
      <xdr:rowOff>19050</xdr:rowOff>
    </xdr:to>
    <xdr:graphicFrame macro="">
      <xdr:nvGraphicFramePr>
        <xdr:cNvPr id="8905" name="Chart 5">
          <a:extLst>
            <a:ext uri="{FF2B5EF4-FFF2-40B4-BE49-F238E27FC236}">
              <a16:creationId xmlns:a16="http://schemas.microsoft.com/office/drawing/2014/main" id="{00000000-0008-0000-0800-0000C9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1133475</xdr:colOff>
      <xdr:row>118</xdr:row>
      <xdr:rowOff>47625</xdr:rowOff>
    </xdr:from>
    <xdr:to>
      <xdr:col>11</xdr:col>
      <xdr:colOff>400050</xdr:colOff>
      <xdr:row>133</xdr:row>
      <xdr:rowOff>104775</xdr:rowOff>
    </xdr:to>
    <xdr:graphicFrame macro="">
      <xdr:nvGraphicFramePr>
        <xdr:cNvPr id="8906" name="Chart 6">
          <a:extLst>
            <a:ext uri="{FF2B5EF4-FFF2-40B4-BE49-F238E27FC236}">
              <a16:creationId xmlns:a16="http://schemas.microsoft.com/office/drawing/2014/main" id="{00000000-0008-0000-0800-0000CA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1123950</xdr:colOff>
      <xdr:row>140</xdr:row>
      <xdr:rowOff>114300</xdr:rowOff>
    </xdr:from>
    <xdr:to>
      <xdr:col>11</xdr:col>
      <xdr:colOff>390525</xdr:colOff>
      <xdr:row>156</xdr:row>
      <xdr:rowOff>9525</xdr:rowOff>
    </xdr:to>
    <xdr:graphicFrame macro="">
      <xdr:nvGraphicFramePr>
        <xdr:cNvPr id="8907" name="Chart 7">
          <a:extLst>
            <a:ext uri="{FF2B5EF4-FFF2-40B4-BE49-F238E27FC236}">
              <a16:creationId xmlns:a16="http://schemas.microsoft.com/office/drawing/2014/main" id="{00000000-0008-0000-0800-0000CB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1095375</xdr:colOff>
      <xdr:row>164</xdr:row>
      <xdr:rowOff>9525</xdr:rowOff>
    </xdr:from>
    <xdr:to>
      <xdr:col>11</xdr:col>
      <xdr:colOff>361950</xdr:colOff>
      <xdr:row>179</xdr:row>
      <xdr:rowOff>66675</xdr:rowOff>
    </xdr:to>
    <xdr:graphicFrame macro="">
      <xdr:nvGraphicFramePr>
        <xdr:cNvPr id="8908" name="Chart 8">
          <a:extLst>
            <a:ext uri="{FF2B5EF4-FFF2-40B4-BE49-F238E27FC236}">
              <a16:creationId xmlns:a16="http://schemas.microsoft.com/office/drawing/2014/main" id="{00000000-0008-0000-0800-0000CC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1285875</xdr:colOff>
      <xdr:row>188</xdr:row>
      <xdr:rowOff>47625</xdr:rowOff>
    </xdr:from>
    <xdr:to>
      <xdr:col>12</xdr:col>
      <xdr:colOff>19050</xdr:colOff>
      <xdr:row>203</xdr:row>
      <xdr:rowOff>104775</xdr:rowOff>
    </xdr:to>
    <xdr:graphicFrame macro="">
      <xdr:nvGraphicFramePr>
        <xdr:cNvPr id="8909" name="Chart 9">
          <a:extLst>
            <a:ext uri="{FF2B5EF4-FFF2-40B4-BE49-F238E27FC236}">
              <a16:creationId xmlns:a16="http://schemas.microsoft.com/office/drawing/2014/main" id="{00000000-0008-0000-0800-0000CD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1238250</xdr:colOff>
      <xdr:row>209</xdr:row>
      <xdr:rowOff>142875</xdr:rowOff>
    </xdr:from>
    <xdr:to>
      <xdr:col>11</xdr:col>
      <xdr:colOff>514350</xdr:colOff>
      <xdr:row>225</xdr:row>
      <xdr:rowOff>47625</xdr:rowOff>
    </xdr:to>
    <xdr:graphicFrame macro="">
      <xdr:nvGraphicFramePr>
        <xdr:cNvPr id="8910" name="Chart 10">
          <a:extLst>
            <a:ext uri="{FF2B5EF4-FFF2-40B4-BE49-F238E27FC236}">
              <a16:creationId xmlns:a16="http://schemas.microsoft.com/office/drawing/2014/main" id="{00000000-0008-0000-0800-0000CE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1314450</xdr:colOff>
      <xdr:row>235</xdr:row>
      <xdr:rowOff>28575</xdr:rowOff>
    </xdr:from>
    <xdr:to>
      <xdr:col>12</xdr:col>
      <xdr:colOff>47625</xdr:colOff>
      <xdr:row>250</xdr:row>
      <xdr:rowOff>85725</xdr:rowOff>
    </xdr:to>
    <xdr:graphicFrame macro="">
      <xdr:nvGraphicFramePr>
        <xdr:cNvPr id="8911" name="Chart 11">
          <a:extLst>
            <a:ext uri="{FF2B5EF4-FFF2-40B4-BE49-F238E27FC236}">
              <a16:creationId xmlns:a16="http://schemas.microsoft.com/office/drawing/2014/main" id="{00000000-0008-0000-0800-0000CF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1333500</xdr:colOff>
      <xdr:row>252</xdr:row>
      <xdr:rowOff>47625</xdr:rowOff>
    </xdr:from>
    <xdr:to>
      <xdr:col>12</xdr:col>
      <xdr:colOff>66675</xdr:colOff>
      <xdr:row>267</xdr:row>
      <xdr:rowOff>104775</xdr:rowOff>
    </xdr:to>
    <xdr:graphicFrame macro="">
      <xdr:nvGraphicFramePr>
        <xdr:cNvPr id="8912" name="Chart 12">
          <a:extLst>
            <a:ext uri="{FF2B5EF4-FFF2-40B4-BE49-F238E27FC236}">
              <a16:creationId xmlns:a16="http://schemas.microsoft.com/office/drawing/2014/main" id="{00000000-0008-0000-0800-0000D022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1"/>
  <sheetViews>
    <sheetView tabSelected="1" zoomScaleNormal="100" workbookViewId="0">
      <pane ySplit="5" topLeftCell="A6" activePane="bottomLeft" state="frozen"/>
      <selection pane="bottomLeft" activeCell="N14" sqref="N14"/>
    </sheetView>
  </sheetViews>
  <sheetFormatPr defaultRowHeight="12.75" x14ac:dyDescent="0.2"/>
  <cols>
    <col min="1" max="1" width="9.33203125" style="25"/>
    <col min="2" max="2" width="57.83203125" style="25" bestFit="1" customWidth="1"/>
    <col min="3" max="3" width="15" style="313" customWidth="1"/>
    <col min="4" max="4" width="1.83203125" style="313" customWidth="1"/>
    <col min="5" max="5" width="15" style="313" customWidth="1"/>
    <col min="6" max="6" width="1.83203125" style="313" customWidth="1"/>
    <col min="7" max="7" width="15" style="313" customWidth="1"/>
    <col min="8" max="8" width="1.83203125" style="313" customWidth="1"/>
    <col min="9" max="9" width="16.33203125" style="313" customWidth="1"/>
    <col min="10" max="10" width="1.83203125" style="313" customWidth="1"/>
    <col min="11" max="11" width="0" style="25" hidden="1" customWidth="1"/>
    <col min="12" max="12" width="17.83203125" style="25" customWidth="1"/>
    <col min="13" max="13" width="0" style="25" hidden="1" customWidth="1"/>
    <col min="14" max="14" width="18" style="25" customWidth="1"/>
    <col min="15" max="15" width="0" style="25" hidden="1" customWidth="1"/>
    <col min="16" max="16" width="12.1640625" style="25" customWidth="1"/>
    <col min="17" max="16384" width="9.33203125" style="25"/>
  </cols>
  <sheetData>
    <row r="1" spans="1:10" x14ac:dyDescent="0.2">
      <c r="B1" s="305"/>
      <c r="C1" s="301"/>
      <c r="D1" s="301"/>
      <c r="E1" s="301"/>
      <c r="F1" s="301"/>
      <c r="G1" s="301"/>
      <c r="H1" s="301"/>
      <c r="I1" s="301"/>
      <c r="J1" s="301"/>
    </row>
    <row r="2" spans="1:10" ht="18" x14ac:dyDescent="0.25">
      <c r="B2" s="306" t="s">
        <v>638</v>
      </c>
      <c r="C2" s="301"/>
      <c r="D2" s="301"/>
      <c r="E2" s="301"/>
      <c r="F2" s="301"/>
      <c r="G2" s="301"/>
      <c r="H2" s="301"/>
      <c r="I2" s="301"/>
      <c r="J2" s="301"/>
    </row>
    <row r="3" spans="1:10" x14ac:dyDescent="0.2">
      <c r="B3" s="25" t="s">
        <v>138</v>
      </c>
      <c r="C3" s="301"/>
      <c r="D3" s="301"/>
      <c r="E3" s="301"/>
      <c r="F3" s="301"/>
      <c r="G3" s="301"/>
      <c r="H3" s="301"/>
      <c r="I3" s="301"/>
      <c r="J3" s="301"/>
    </row>
    <row r="4" spans="1:10" x14ac:dyDescent="0.2">
      <c r="C4" s="307" t="s">
        <v>300</v>
      </c>
      <c r="D4" s="307"/>
      <c r="E4" s="307" t="s">
        <v>300</v>
      </c>
      <c r="F4" s="307"/>
      <c r="G4" s="307" t="s">
        <v>300</v>
      </c>
      <c r="H4" s="307"/>
      <c r="I4" s="307" t="s">
        <v>301</v>
      </c>
      <c r="J4" s="307"/>
    </row>
    <row r="5" spans="1:10" s="310" customFormat="1" x14ac:dyDescent="0.2">
      <c r="B5" s="308" t="s">
        <v>85</v>
      </c>
      <c r="C5" s="318">
        <v>40908</v>
      </c>
      <c r="D5" s="309"/>
      <c r="E5" s="318">
        <v>41274</v>
      </c>
      <c r="F5" s="309"/>
      <c r="G5" s="318">
        <v>41639</v>
      </c>
      <c r="H5" s="309"/>
      <c r="I5" s="318">
        <v>42004</v>
      </c>
      <c r="J5" s="309"/>
    </row>
    <row r="6" spans="1:10" x14ac:dyDescent="0.2">
      <c r="B6" s="301"/>
      <c r="C6" s="311"/>
      <c r="D6" s="311"/>
      <c r="E6" s="311"/>
      <c r="F6" s="311"/>
      <c r="G6" s="311"/>
      <c r="H6" s="311"/>
      <c r="I6" s="311"/>
      <c r="J6" s="311"/>
    </row>
    <row r="7" spans="1:10" s="301" customFormat="1" x14ac:dyDescent="0.2">
      <c r="B7" s="312" t="s">
        <v>89</v>
      </c>
      <c r="C7" s="313"/>
      <c r="D7" s="313"/>
      <c r="E7" s="313"/>
      <c r="F7" s="313"/>
      <c r="G7" s="313"/>
      <c r="H7" s="313"/>
      <c r="I7" s="313"/>
      <c r="J7" s="313"/>
    </row>
    <row r="8" spans="1:10" x14ac:dyDescent="0.2">
      <c r="A8" s="25">
        <v>101008</v>
      </c>
      <c r="B8" s="14" t="s">
        <v>629</v>
      </c>
      <c r="C8" s="300">
        <v>275000</v>
      </c>
      <c r="D8" s="300"/>
      <c r="E8" s="313">
        <v>325000</v>
      </c>
      <c r="F8" s="300"/>
      <c r="G8" s="300">
        <v>650000</v>
      </c>
      <c r="H8" s="300"/>
      <c r="I8" s="300">
        <v>300000</v>
      </c>
      <c r="J8" s="300"/>
    </row>
    <row r="9" spans="1:10" x14ac:dyDescent="0.2">
      <c r="A9" s="25">
        <v>101032</v>
      </c>
      <c r="B9" s="14" t="s">
        <v>630</v>
      </c>
      <c r="C9" s="300">
        <v>1000000</v>
      </c>
      <c r="D9" s="300"/>
      <c r="E9" s="313">
        <v>1500000</v>
      </c>
      <c r="F9" s="300"/>
      <c r="G9" s="300">
        <v>1350000</v>
      </c>
      <c r="H9" s="300"/>
      <c r="I9" s="300">
        <v>2750000</v>
      </c>
      <c r="J9" s="300"/>
    </row>
    <row r="10" spans="1:10" x14ac:dyDescent="0.2">
      <c r="A10" s="25">
        <v>101008</v>
      </c>
      <c r="B10" s="14" t="s">
        <v>411</v>
      </c>
      <c r="C10" s="300">
        <v>175000</v>
      </c>
      <c r="D10" s="300"/>
      <c r="E10" s="313">
        <v>175000</v>
      </c>
      <c r="F10" s="300"/>
      <c r="G10" s="300">
        <v>175000</v>
      </c>
      <c r="H10" s="300"/>
      <c r="I10" s="300">
        <v>75000</v>
      </c>
      <c r="J10" s="300"/>
    </row>
    <row r="11" spans="1:10" x14ac:dyDescent="0.2">
      <c r="A11" s="25">
        <v>101033</v>
      </c>
      <c r="B11" s="14" t="s">
        <v>631</v>
      </c>
      <c r="C11" s="300">
        <v>0</v>
      </c>
      <c r="D11" s="300"/>
      <c r="F11" s="300"/>
      <c r="G11" s="300">
        <v>2000</v>
      </c>
      <c r="H11" s="300"/>
      <c r="I11" s="300">
        <v>750</v>
      </c>
      <c r="J11" s="300"/>
    </row>
    <row r="12" spans="1:10" x14ac:dyDescent="0.2">
      <c r="A12" s="25">
        <v>101014</v>
      </c>
      <c r="B12" s="14" t="s">
        <v>293</v>
      </c>
      <c r="C12" s="300">
        <v>125000</v>
      </c>
      <c r="D12" s="300"/>
      <c r="E12" s="313">
        <v>150000</v>
      </c>
      <c r="F12" s="300"/>
      <c r="G12" s="300">
        <v>150000</v>
      </c>
      <c r="H12" s="300"/>
      <c r="I12" s="300">
        <v>75000</v>
      </c>
      <c r="J12" s="300"/>
    </row>
    <row r="13" spans="1:10" x14ac:dyDescent="0.2">
      <c r="A13" s="25">
        <v>101033</v>
      </c>
      <c r="B13" s="14" t="s">
        <v>384</v>
      </c>
      <c r="C13" s="300"/>
      <c r="D13" s="300"/>
      <c r="F13" s="300"/>
      <c r="G13" s="300">
        <v>0</v>
      </c>
      <c r="H13" s="300"/>
      <c r="I13" s="300">
        <v>110000</v>
      </c>
      <c r="J13" s="300"/>
    </row>
    <row r="14" spans="1:10" x14ac:dyDescent="0.2">
      <c r="A14" s="25">
        <v>101016</v>
      </c>
      <c r="B14" s="14" t="s">
        <v>263</v>
      </c>
      <c r="C14" s="300">
        <v>1050000</v>
      </c>
      <c r="D14" s="300"/>
      <c r="E14" s="313">
        <v>1400000</v>
      </c>
      <c r="F14" s="300"/>
      <c r="G14" s="300">
        <v>1750000</v>
      </c>
      <c r="H14" s="300"/>
      <c r="I14" s="300">
        <v>2125000</v>
      </c>
      <c r="J14" s="300"/>
    </row>
    <row r="15" spans="1:10" x14ac:dyDescent="0.2">
      <c r="A15" s="25">
        <v>102011</v>
      </c>
      <c r="B15" s="14" t="s">
        <v>264</v>
      </c>
      <c r="C15" s="300">
        <v>-350000</v>
      </c>
      <c r="D15" s="300"/>
      <c r="E15" s="300">
        <v>-450000</v>
      </c>
      <c r="F15" s="300"/>
      <c r="G15" s="300">
        <v>-575000</v>
      </c>
      <c r="H15" s="300"/>
      <c r="I15" s="300">
        <v>-600000</v>
      </c>
      <c r="J15" s="300"/>
    </row>
    <row r="16" spans="1:10" x14ac:dyDescent="0.2">
      <c r="A16" s="25">
        <v>101018</v>
      </c>
      <c r="B16" s="14" t="s">
        <v>265</v>
      </c>
      <c r="C16" s="300">
        <v>45000</v>
      </c>
      <c r="D16" s="300"/>
      <c r="E16" s="313">
        <v>55000</v>
      </c>
      <c r="F16" s="300"/>
      <c r="G16" s="300">
        <v>65000</v>
      </c>
      <c r="H16" s="300"/>
      <c r="I16" s="300">
        <v>100000</v>
      </c>
      <c r="J16" s="300"/>
    </row>
    <row r="17" spans="1:10" x14ac:dyDescent="0.2">
      <c r="A17" s="25">
        <v>101033</v>
      </c>
      <c r="B17" s="14" t="s">
        <v>323</v>
      </c>
      <c r="C17" s="314">
        <v>1000</v>
      </c>
      <c r="D17" s="300"/>
      <c r="E17" s="303">
        <v>2000</v>
      </c>
      <c r="F17" s="300"/>
      <c r="G17" s="314">
        <v>3000</v>
      </c>
      <c r="H17" s="300"/>
      <c r="I17" s="314">
        <v>4000</v>
      </c>
      <c r="J17" s="300"/>
    </row>
    <row r="18" spans="1:10" x14ac:dyDescent="0.2">
      <c r="B18" s="14" t="s">
        <v>3</v>
      </c>
      <c r="C18" s="300">
        <f>SUM(C8:C17)</f>
        <v>2321000</v>
      </c>
      <c r="D18" s="300"/>
      <c r="E18" s="300">
        <f>SUM(E8:E17)</f>
        <v>3157000</v>
      </c>
      <c r="F18" s="300"/>
      <c r="G18" s="300">
        <f>SUM(G8:G17)</f>
        <v>3570000</v>
      </c>
      <c r="H18" s="300"/>
      <c r="I18" s="300">
        <f>SUM(I8:I17)</f>
        <v>4939750</v>
      </c>
      <c r="J18" s="300"/>
    </row>
    <row r="19" spans="1:10" x14ac:dyDescent="0.2">
      <c r="B19" s="14"/>
      <c r="C19" s="300"/>
      <c r="D19" s="300"/>
      <c r="E19" s="300"/>
      <c r="F19" s="300"/>
      <c r="G19" s="300"/>
      <c r="H19" s="300"/>
      <c r="I19" s="300"/>
      <c r="J19" s="300"/>
    </row>
    <row r="20" spans="1:10" x14ac:dyDescent="0.2">
      <c r="B20" s="198" t="s">
        <v>266</v>
      </c>
      <c r="C20" s="300"/>
      <c r="D20" s="300"/>
      <c r="E20" s="300"/>
      <c r="F20" s="300"/>
      <c r="G20" s="300"/>
      <c r="H20" s="300"/>
      <c r="I20" s="300"/>
      <c r="J20" s="300"/>
    </row>
    <row r="21" spans="1:10" x14ac:dyDescent="0.2">
      <c r="A21" s="25">
        <v>102010</v>
      </c>
      <c r="B21" s="14" t="s">
        <v>412</v>
      </c>
      <c r="C21" s="300">
        <v>2500000</v>
      </c>
      <c r="D21" s="300"/>
      <c r="E21" s="300">
        <v>2650000</v>
      </c>
      <c r="F21" s="300"/>
      <c r="G21" s="300">
        <v>3125000</v>
      </c>
      <c r="H21" s="300"/>
      <c r="I21" s="300">
        <v>2900000</v>
      </c>
      <c r="J21" s="300"/>
    </row>
    <row r="22" spans="1:10" x14ac:dyDescent="0.2">
      <c r="B22" s="14" t="s">
        <v>264</v>
      </c>
      <c r="C22" s="300">
        <v>0</v>
      </c>
      <c r="D22" s="300"/>
      <c r="E22" s="300">
        <v>0</v>
      </c>
      <c r="F22" s="300"/>
      <c r="G22" s="300">
        <v>0</v>
      </c>
      <c r="H22" s="300"/>
      <c r="I22" s="300">
        <v>0</v>
      </c>
      <c r="J22" s="300"/>
    </row>
    <row r="23" spans="1:10" x14ac:dyDescent="0.2">
      <c r="B23" s="14" t="s">
        <v>294</v>
      </c>
      <c r="C23" s="300"/>
      <c r="D23" s="300"/>
      <c r="E23" s="300">
        <v>0</v>
      </c>
      <c r="F23" s="300"/>
      <c r="G23" s="300">
        <v>0</v>
      </c>
      <c r="H23" s="300"/>
      <c r="I23" s="300">
        <v>0</v>
      </c>
      <c r="J23" s="300"/>
    </row>
    <row r="24" spans="1:10" x14ac:dyDescent="0.2">
      <c r="B24" s="14" t="s">
        <v>375</v>
      </c>
      <c r="C24" s="300">
        <v>0</v>
      </c>
      <c r="D24" s="300"/>
      <c r="E24" s="300">
        <v>0</v>
      </c>
      <c r="F24" s="300"/>
      <c r="G24" s="300">
        <v>0</v>
      </c>
      <c r="H24" s="300"/>
      <c r="I24" s="300">
        <v>0</v>
      </c>
      <c r="J24" s="300"/>
    </row>
    <row r="25" spans="1:10" x14ac:dyDescent="0.2">
      <c r="B25" s="14" t="s">
        <v>221</v>
      </c>
      <c r="C25" s="300"/>
      <c r="D25" s="300"/>
      <c r="E25" s="300"/>
      <c r="F25" s="300"/>
      <c r="G25" s="300"/>
      <c r="H25" s="300"/>
      <c r="I25" s="300">
        <v>0</v>
      </c>
      <c r="J25" s="300"/>
    </row>
    <row r="26" spans="1:10" x14ac:dyDescent="0.2">
      <c r="B26" s="14" t="s">
        <v>278</v>
      </c>
      <c r="C26" s="300">
        <v>0</v>
      </c>
      <c r="D26" s="300"/>
      <c r="E26" s="300"/>
      <c r="F26" s="300"/>
      <c r="G26" s="300">
        <v>0</v>
      </c>
      <c r="H26" s="300"/>
      <c r="I26" s="300">
        <v>0</v>
      </c>
      <c r="J26" s="300"/>
    </row>
    <row r="27" spans="1:10" x14ac:dyDescent="0.2">
      <c r="B27" s="705" t="s">
        <v>619</v>
      </c>
      <c r="C27" s="300"/>
      <c r="D27" s="300"/>
      <c r="E27" s="300"/>
      <c r="F27" s="300"/>
      <c r="G27" s="300"/>
      <c r="H27" s="300"/>
      <c r="I27" s="300"/>
      <c r="J27" s="300"/>
    </row>
    <row r="28" spans="1:10" x14ac:dyDescent="0.2">
      <c r="A28" s="25">
        <v>102017</v>
      </c>
      <c r="B28" s="14" t="s">
        <v>24</v>
      </c>
      <c r="C28" s="314">
        <v>150000</v>
      </c>
      <c r="D28" s="300"/>
      <c r="E28" s="314">
        <v>145000</v>
      </c>
      <c r="F28" s="300"/>
      <c r="G28" s="314">
        <v>136000</v>
      </c>
      <c r="H28" s="300"/>
      <c r="I28" s="314">
        <v>225000</v>
      </c>
      <c r="J28" s="300"/>
    </row>
    <row r="29" spans="1:10" x14ac:dyDescent="0.2">
      <c r="B29" s="305" t="s">
        <v>114</v>
      </c>
      <c r="C29" s="315">
        <f>SUM(C18:C28)</f>
        <v>4971000</v>
      </c>
      <c r="D29" s="315"/>
      <c r="E29" s="315">
        <f>SUM(E18:E28)</f>
        <v>5952000</v>
      </c>
      <c r="F29" s="315"/>
      <c r="G29" s="315">
        <f>SUM(G18:G28)</f>
        <v>6831000</v>
      </c>
      <c r="H29" s="315"/>
      <c r="I29" s="315">
        <f>SUM(I18:I28)</f>
        <v>8064750</v>
      </c>
      <c r="J29" s="315"/>
    </row>
    <row r="31" spans="1:10" x14ac:dyDescent="0.2">
      <c r="B31" s="305" t="s">
        <v>115</v>
      </c>
    </row>
    <row r="32" spans="1:10" x14ac:dyDescent="0.2">
      <c r="B32" s="316" t="s">
        <v>116</v>
      </c>
    </row>
    <row r="33" spans="1:10" x14ac:dyDescent="0.2">
      <c r="A33" s="25">
        <v>103010</v>
      </c>
      <c r="B33" s="317" t="s">
        <v>295</v>
      </c>
      <c r="C33" s="300">
        <v>75000</v>
      </c>
      <c r="D33" s="300"/>
      <c r="E33" s="300">
        <v>65000</v>
      </c>
      <c r="F33" s="300"/>
      <c r="G33" s="300">
        <v>100000</v>
      </c>
      <c r="H33" s="300"/>
      <c r="I33" s="300">
        <v>110000</v>
      </c>
      <c r="J33" s="300"/>
    </row>
    <row r="34" spans="1:10" x14ac:dyDescent="0.2">
      <c r="A34" s="25">
        <v>103011</v>
      </c>
      <c r="B34" s="317" t="s">
        <v>267</v>
      </c>
      <c r="C34" s="300">
        <v>28000</v>
      </c>
      <c r="D34" s="300"/>
      <c r="E34" s="300">
        <v>30000</v>
      </c>
      <c r="F34" s="300"/>
      <c r="G34" s="300">
        <v>40000</v>
      </c>
      <c r="H34" s="300"/>
      <c r="I34" s="300">
        <v>36000</v>
      </c>
      <c r="J34" s="300"/>
    </row>
    <row r="35" spans="1:10" x14ac:dyDescent="0.2">
      <c r="B35" s="317" t="s">
        <v>634</v>
      </c>
      <c r="C35" s="300"/>
      <c r="D35" s="300"/>
      <c r="E35" s="300"/>
      <c r="F35" s="300"/>
      <c r="G35" s="300"/>
      <c r="H35" s="300"/>
      <c r="I35" s="300"/>
      <c r="J35" s="300"/>
    </row>
    <row r="36" spans="1:10" x14ac:dyDescent="0.2">
      <c r="B36" s="317" t="s">
        <v>637</v>
      </c>
      <c r="C36" s="300"/>
      <c r="D36" s="300"/>
      <c r="E36" s="300"/>
      <c r="F36" s="300"/>
      <c r="G36" s="300"/>
      <c r="H36" s="300"/>
      <c r="I36" s="300"/>
      <c r="J36" s="300"/>
    </row>
    <row r="37" spans="1:10" x14ac:dyDescent="0.2">
      <c r="A37" s="25">
        <v>103013</v>
      </c>
      <c r="B37" s="317" t="s">
        <v>140</v>
      </c>
      <c r="C37" s="300">
        <v>750000</v>
      </c>
      <c r="D37" s="300"/>
      <c r="E37" s="300">
        <v>600000</v>
      </c>
      <c r="F37" s="300"/>
      <c r="G37" s="300">
        <v>1000000</v>
      </c>
      <c r="H37" s="300"/>
      <c r="I37" s="300">
        <v>1500000</v>
      </c>
      <c r="J37" s="300"/>
    </row>
    <row r="38" spans="1:10" x14ac:dyDescent="0.2">
      <c r="B38" s="317" t="s">
        <v>410</v>
      </c>
      <c r="C38" s="300">
        <v>0</v>
      </c>
      <c r="D38" s="300"/>
      <c r="E38" s="300">
        <v>0</v>
      </c>
      <c r="F38" s="300"/>
      <c r="G38" s="300">
        <v>0</v>
      </c>
      <c r="H38" s="300"/>
      <c r="I38" s="300">
        <v>0</v>
      </c>
      <c r="J38" s="300"/>
    </row>
    <row r="39" spans="1:10" x14ac:dyDescent="0.2">
      <c r="A39" s="25">
        <v>103016</v>
      </c>
      <c r="B39" s="317" t="s">
        <v>632</v>
      </c>
      <c r="C39" s="314">
        <v>50000</v>
      </c>
      <c r="D39" s="300"/>
      <c r="E39" s="314">
        <v>350000</v>
      </c>
      <c r="F39" s="300"/>
      <c r="G39" s="314">
        <v>500000</v>
      </c>
      <c r="H39" s="300"/>
      <c r="I39" s="314">
        <v>200000</v>
      </c>
      <c r="J39" s="300"/>
    </row>
    <row r="40" spans="1:10" x14ac:dyDescent="0.2">
      <c r="B40" s="317" t="s">
        <v>8</v>
      </c>
      <c r="C40" s="300">
        <f>SUM(C33:C39)</f>
        <v>903000</v>
      </c>
      <c r="D40" s="300"/>
      <c r="E40" s="300">
        <f>SUM(E33:E39)</f>
        <v>1045000</v>
      </c>
      <c r="F40" s="300"/>
      <c r="G40" s="300">
        <f>SUM(G33:G39)</f>
        <v>1640000</v>
      </c>
      <c r="H40" s="300"/>
      <c r="I40" s="300">
        <f>SUM(I33:I39)</f>
        <v>1846000</v>
      </c>
      <c r="J40" s="300"/>
    </row>
    <row r="41" spans="1:10" x14ac:dyDescent="0.2">
      <c r="B41" s="317"/>
      <c r="C41" s="300"/>
      <c r="D41" s="300"/>
      <c r="E41" s="300"/>
      <c r="F41" s="300"/>
      <c r="G41" s="300"/>
      <c r="H41" s="300"/>
      <c r="I41" s="300"/>
      <c r="J41" s="300"/>
    </row>
    <row r="42" spans="1:10" x14ac:dyDescent="0.2">
      <c r="B42" s="302" t="s">
        <v>27</v>
      </c>
      <c r="C42" s="300"/>
      <c r="D42" s="300"/>
      <c r="E42" s="300"/>
      <c r="F42" s="300"/>
      <c r="G42" s="300"/>
      <c r="H42" s="300"/>
      <c r="I42" s="300"/>
      <c r="J42" s="300"/>
    </row>
    <row r="43" spans="1:10" x14ac:dyDescent="0.2">
      <c r="A43" s="25">
        <v>104010</v>
      </c>
      <c r="B43" s="317" t="s">
        <v>141</v>
      </c>
      <c r="C43" s="300">
        <v>2000000</v>
      </c>
      <c r="D43" s="300"/>
      <c r="E43" s="300">
        <v>2500000</v>
      </c>
      <c r="F43" s="300"/>
      <c r="G43" s="300">
        <v>1500000</v>
      </c>
      <c r="H43" s="300"/>
      <c r="I43" s="300">
        <v>2500000</v>
      </c>
      <c r="J43" s="300"/>
    </row>
    <row r="44" spans="1:10" x14ac:dyDescent="0.2">
      <c r="B44" s="317" t="s">
        <v>633</v>
      </c>
      <c r="C44" s="300"/>
      <c r="D44" s="300"/>
      <c r="E44" s="300"/>
      <c r="F44" s="300"/>
      <c r="G44" s="300"/>
      <c r="H44" s="300"/>
      <c r="I44" s="300"/>
      <c r="J44" s="300"/>
    </row>
    <row r="45" spans="1:10" x14ac:dyDescent="0.2">
      <c r="A45" s="25">
        <v>104012</v>
      </c>
      <c r="B45" s="317" t="s">
        <v>268</v>
      </c>
      <c r="C45" s="300">
        <v>100000</v>
      </c>
      <c r="D45" s="300"/>
      <c r="E45" s="300">
        <v>75000</v>
      </c>
      <c r="F45" s="300"/>
      <c r="G45" s="300">
        <v>250000</v>
      </c>
      <c r="H45" s="300"/>
      <c r="I45" s="300">
        <v>150000</v>
      </c>
      <c r="J45" s="300"/>
    </row>
    <row r="46" spans="1:10" x14ac:dyDescent="0.2">
      <c r="B46" s="317" t="s">
        <v>632</v>
      </c>
      <c r="C46" s="300">
        <v>0</v>
      </c>
      <c r="D46" s="300"/>
      <c r="E46" s="300"/>
      <c r="F46" s="300"/>
      <c r="G46" s="300"/>
      <c r="H46" s="300"/>
      <c r="I46" s="300"/>
      <c r="J46" s="300"/>
    </row>
    <row r="47" spans="1:10" x14ac:dyDescent="0.2">
      <c r="A47" s="25">
        <v>104014</v>
      </c>
      <c r="B47" s="317" t="s">
        <v>29</v>
      </c>
      <c r="C47" s="300">
        <v>0</v>
      </c>
      <c r="D47" s="300"/>
      <c r="E47" s="300">
        <v>0</v>
      </c>
      <c r="F47" s="300"/>
      <c r="G47" s="300">
        <v>1000000</v>
      </c>
      <c r="H47" s="300"/>
      <c r="I47" s="300">
        <v>1125000</v>
      </c>
      <c r="J47" s="300"/>
    </row>
    <row r="48" spans="1:10" x14ac:dyDescent="0.2">
      <c r="B48" s="25" t="s">
        <v>117</v>
      </c>
      <c r="C48" s="315">
        <f>SUM(C40:C47)</f>
        <v>3003000</v>
      </c>
      <c r="D48" s="315"/>
      <c r="E48" s="315">
        <f>SUM(E40:E47)</f>
        <v>3620000</v>
      </c>
      <c r="F48" s="315"/>
      <c r="G48" s="315">
        <f>SUM(G40:G47)</f>
        <v>4390000</v>
      </c>
      <c r="H48" s="315"/>
      <c r="I48" s="315">
        <f>SUM(I40:I47)</f>
        <v>5621000</v>
      </c>
      <c r="J48" s="315"/>
    </row>
    <row r="51" spans="1:10" x14ac:dyDescent="0.2">
      <c r="B51" s="317" t="s">
        <v>118</v>
      </c>
    </row>
    <row r="52" spans="1:10" ht="12" customHeight="1" x14ac:dyDescent="0.2">
      <c r="A52" s="25">
        <v>105010</v>
      </c>
      <c r="B52" s="317" t="s">
        <v>287</v>
      </c>
      <c r="C52" s="300">
        <f>1718000-250000</f>
        <v>1468000</v>
      </c>
      <c r="E52" s="300">
        <v>1532000</v>
      </c>
      <c r="G52" s="300">
        <v>1741000</v>
      </c>
      <c r="I52" s="313">
        <v>1443750</v>
      </c>
    </row>
    <row r="53" spans="1:10" ht="12" customHeight="1" x14ac:dyDescent="0.2">
      <c r="B53" s="317" t="s">
        <v>296</v>
      </c>
      <c r="C53" s="300">
        <v>0</v>
      </c>
      <c r="E53" s="300">
        <v>0</v>
      </c>
      <c r="G53" s="300">
        <v>0</v>
      </c>
      <c r="I53" s="313">
        <v>0</v>
      </c>
    </row>
    <row r="54" spans="1:10" ht="12" customHeight="1" x14ac:dyDescent="0.2">
      <c r="B54" s="317" t="s">
        <v>377</v>
      </c>
      <c r="C54" s="300">
        <v>0</v>
      </c>
      <c r="E54" s="300">
        <v>0</v>
      </c>
      <c r="G54" s="300">
        <v>0</v>
      </c>
      <c r="I54" s="313">
        <v>0</v>
      </c>
    </row>
    <row r="55" spans="1:10" ht="12" customHeight="1" x14ac:dyDescent="0.2">
      <c r="B55" s="317" t="s">
        <v>279</v>
      </c>
      <c r="C55" s="300">
        <v>0</v>
      </c>
      <c r="E55" s="300">
        <v>0</v>
      </c>
      <c r="G55" s="300">
        <v>0</v>
      </c>
      <c r="I55" s="300">
        <v>0</v>
      </c>
    </row>
    <row r="56" spans="1:10" ht="12" customHeight="1" x14ac:dyDescent="0.2">
      <c r="A56" s="25">
        <v>106011</v>
      </c>
      <c r="B56" s="317" t="s">
        <v>297</v>
      </c>
      <c r="C56" s="300">
        <v>500000</v>
      </c>
      <c r="E56" s="300">
        <v>800000</v>
      </c>
      <c r="G56" s="300">
        <v>700000</v>
      </c>
      <c r="I56" s="300">
        <v>1000000</v>
      </c>
    </row>
    <row r="57" spans="1:10" ht="12" customHeight="1" x14ac:dyDescent="0.2">
      <c r="B57" s="317" t="s">
        <v>378</v>
      </c>
      <c r="C57" s="300">
        <v>0</v>
      </c>
      <c r="E57" s="300"/>
      <c r="G57" s="300"/>
      <c r="I57" s="300"/>
    </row>
    <row r="58" spans="1:10" ht="12" customHeight="1" x14ac:dyDescent="0.2">
      <c r="B58" s="317" t="s">
        <v>382</v>
      </c>
      <c r="C58" s="300"/>
      <c r="E58" s="300">
        <v>0</v>
      </c>
      <c r="G58" s="300">
        <v>0</v>
      </c>
      <c r="I58" s="300">
        <v>0</v>
      </c>
    </row>
    <row r="59" spans="1:10" x14ac:dyDescent="0.2">
      <c r="B59" s="317" t="s">
        <v>11</v>
      </c>
      <c r="C59" s="314">
        <v>0</v>
      </c>
      <c r="E59" s="314">
        <v>0</v>
      </c>
      <c r="G59" s="314">
        <v>0</v>
      </c>
      <c r="I59" s="303">
        <v>0</v>
      </c>
    </row>
    <row r="60" spans="1:10" x14ac:dyDescent="0.2">
      <c r="B60" s="25" t="s">
        <v>12</v>
      </c>
      <c r="C60" s="315">
        <f>SUM(C52:C59)</f>
        <v>1968000</v>
      </c>
      <c r="E60" s="315">
        <f>SUM(E52:E59)</f>
        <v>2332000</v>
      </c>
      <c r="G60" s="315">
        <f>SUM(G52:G59)</f>
        <v>2441000</v>
      </c>
      <c r="I60" s="315">
        <f>SUM(I52:I59)</f>
        <v>2443750</v>
      </c>
    </row>
    <row r="61" spans="1:10" x14ac:dyDescent="0.2">
      <c r="B61" s="317"/>
    </row>
    <row r="63" spans="1:10" x14ac:dyDescent="0.2">
      <c r="B63" s="305" t="s">
        <v>33</v>
      </c>
      <c r="C63" s="315">
        <f>C48+C60</f>
        <v>4971000</v>
      </c>
      <c r="D63" s="315"/>
      <c r="E63" s="315">
        <f>E48+E60</f>
        <v>5952000</v>
      </c>
      <c r="F63" s="315"/>
      <c r="G63" s="315">
        <f>G48+G60</f>
        <v>6831000</v>
      </c>
      <c r="H63" s="315"/>
      <c r="I63" s="315">
        <f>I48+I60</f>
        <v>8064750</v>
      </c>
      <c r="J63" s="315"/>
    </row>
    <row r="64" spans="1:10" x14ac:dyDescent="0.2">
      <c r="B64" s="25" t="s">
        <v>119</v>
      </c>
      <c r="C64" s="304">
        <f>C63-C29</f>
        <v>0</v>
      </c>
      <c r="D64" s="304"/>
      <c r="E64" s="304">
        <f>E63-E29</f>
        <v>0</v>
      </c>
      <c r="F64" s="304"/>
      <c r="G64" s="304">
        <f>G63-G29</f>
        <v>0</v>
      </c>
      <c r="H64" s="304"/>
      <c r="I64" s="304">
        <f>I63-I29</f>
        <v>0</v>
      </c>
      <c r="J64" s="304"/>
    </row>
    <row r="66" spans="1:10" s="301" customFormat="1" x14ac:dyDescent="0.2">
      <c r="C66" s="313"/>
      <c r="D66" s="313"/>
      <c r="E66" s="313"/>
      <c r="F66" s="313"/>
      <c r="G66" s="313"/>
      <c r="H66" s="313"/>
      <c r="I66" s="313"/>
      <c r="J66" s="313"/>
    </row>
    <row r="67" spans="1:10" x14ac:dyDescent="0.2">
      <c r="B67" s="301"/>
      <c r="C67" s="307" t="str">
        <f>C4</f>
        <v>AUDIT</v>
      </c>
      <c r="D67" s="307"/>
      <c r="E67" s="307" t="str">
        <f>E4</f>
        <v>AUDIT</v>
      </c>
      <c r="F67" s="307"/>
      <c r="G67" s="307" t="str">
        <f>G4</f>
        <v>AUDIT</v>
      </c>
      <c r="H67" s="307"/>
      <c r="I67" s="307" t="str">
        <f>I4</f>
        <v>INTERIM</v>
      </c>
      <c r="J67" s="307"/>
    </row>
    <row r="68" spans="1:10" s="310" customFormat="1" x14ac:dyDescent="0.2">
      <c r="B68" s="310" t="s">
        <v>85</v>
      </c>
      <c r="C68" s="318">
        <f>C5</f>
        <v>40908</v>
      </c>
      <c r="D68" s="309"/>
      <c r="E68" s="318">
        <f>E5</f>
        <v>41274</v>
      </c>
      <c r="F68" s="309"/>
      <c r="G68" s="318">
        <f>G5</f>
        <v>41639</v>
      </c>
      <c r="H68" s="309"/>
      <c r="I68" s="318">
        <f>I5</f>
        <v>42004</v>
      </c>
      <c r="J68" s="309"/>
    </row>
    <row r="69" spans="1:10" x14ac:dyDescent="0.2">
      <c r="B69" s="301"/>
      <c r="C69" s="311"/>
      <c r="D69" s="311"/>
      <c r="E69" s="311"/>
      <c r="F69" s="311"/>
      <c r="G69" s="311"/>
      <c r="H69" s="311"/>
      <c r="I69" s="311"/>
      <c r="J69" s="311"/>
    </row>
    <row r="70" spans="1:10" x14ac:dyDescent="0.2">
      <c r="B70" s="305" t="s">
        <v>120</v>
      </c>
    </row>
    <row r="71" spans="1:10" x14ac:dyDescent="0.2">
      <c r="A71" s="25">
        <v>201010</v>
      </c>
      <c r="B71" s="319" t="s">
        <v>379</v>
      </c>
      <c r="C71" s="300">
        <v>300000</v>
      </c>
      <c r="D71" s="300"/>
      <c r="E71" s="300">
        <f>547000</f>
        <v>547000</v>
      </c>
      <c r="F71" s="300"/>
      <c r="G71" s="300">
        <v>300000</v>
      </c>
      <c r="H71" s="300"/>
      <c r="I71" s="300">
        <v>550000</v>
      </c>
      <c r="J71" s="300"/>
    </row>
    <row r="72" spans="1:10" x14ac:dyDescent="0.2">
      <c r="B72" s="319" t="s">
        <v>322</v>
      </c>
      <c r="C72" s="300">
        <v>0</v>
      </c>
      <c r="D72" s="300"/>
      <c r="E72" s="300">
        <v>0</v>
      </c>
      <c r="F72" s="300"/>
      <c r="G72" s="300">
        <v>0</v>
      </c>
      <c r="H72" s="300"/>
      <c r="I72" s="300">
        <v>0</v>
      </c>
      <c r="J72" s="300"/>
    </row>
    <row r="73" spans="1:10" x14ac:dyDescent="0.2">
      <c r="A73" s="25">
        <v>202010</v>
      </c>
      <c r="B73" s="319" t="s">
        <v>328</v>
      </c>
      <c r="C73" s="300">
        <v>100000</v>
      </c>
      <c r="D73" s="300"/>
      <c r="E73" s="300">
        <v>125000</v>
      </c>
      <c r="F73" s="300"/>
      <c r="G73" s="300">
        <v>150000</v>
      </c>
      <c r="H73" s="300"/>
      <c r="I73" s="300">
        <v>200000</v>
      </c>
      <c r="J73" s="300"/>
    </row>
    <row r="74" spans="1:10" x14ac:dyDescent="0.2">
      <c r="A74" s="25">
        <v>202011</v>
      </c>
      <c r="B74" s="319" t="s">
        <v>269</v>
      </c>
      <c r="C74" s="300">
        <v>400</v>
      </c>
      <c r="D74" s="300"/>
      <c r="E74" s="300">
        <v>750</v>
      </c>
      <c r="F74" s="300"/>
      <c r="G74" s="300">
        <v>1000</v>
      </c>
      <c r="H74" s="300"/>
      <c r="I74" s="300">
        <v>1120</v>
      </c>
      <c r="J74" s="300"/>
    </row>
    <row r="75" spans="1:10" x14ac:dyDescent="0.2">
      <c r="B75" s="319" t="s">
        <v>270</v>
      </c>
      <c r="C75" s="300">
        <v>0</v>
      </c>
      <c r="D75" s="300"/>
      <c r="E75" s="300">
        <v>0</v>
      </c>
      <c r="F75" s="300"/>
      <c r="G75" s="300">
        <v>0</v>
      </c>
      <c r="H75" s="300"/>
      <c r="I75" s="300">
        <v>0</v>
      </c>
      <c r="J75" s="300"/>
    </row>
    <row r="76" spans="1:10" x14ac:dyDescent="0.2">
      <c r="B76" s="319" t="s">
        <v>84</v>
      </c>
      <c r="C76" s="300">
        <v>0</v>
      </c>
      <c r="D76" s="300"/>
      <c r="E76" s="300">
        <v>0</v>
      </c>
      <c r="F76" s="300"/>
      <c r="G76" s="300">
        <v>0</v>
      </c>
      <c r="H76" s="300"/>
      <c r="I76" s="300">
        <v>0</v>
      </c>
      <c r="J76" s="300"/>
    </row>
    <row r="77" spans="1:10" x14ac:dyDescent="0.2">
      <c r="A77" s="25">
        <v>202042</v>
      </c>
      <c r="B77" s="319" t="s">
        <v>321</v>
      </c>
      <c r="C77" s="300">
        <v>25000</v>
      </c>
      <c r="D77" s="300"/>
      <c r="E77" s="300">
        <v>40000</v>
      </c>
      <c r="F77" s="300"/>
      <c r="G77" s="300">
        <v>55000</v>
      </c>
      <c r="H77" s="300"/>
      <c r="I77" s="300">
        <v>90000</v>
      </c>
      <c r="J77" s="300"/>
    </row>
    <row r="78" spans="1:10" x14ac:dyDescent="0.2">
      <c r="B78" s="319" t="s">
        <v>298</v>
      </c>
      <c r="C78" s="300">
        <v>0</v>
      </c>
      <c r="D78" s="300"/>
      <c r="E78" s="300">
        <v>0</v>
      </c>
      <c r="F78" s="300"/>
      <c r="G78" s="300">
        <v>0</v>
      </c>
      <c r="H78" s="300"/>
      <c r="I78" s="300">
        <v>0</v>
      </c>
      <c r="J78" s="300"/>
    </row>
    <row r="79" spans="1:10" x14ac:dyDescent="0.2">
      <c r="A79" s="25">
        <v>203012</v>
      </c>
      <c r="B79" s="319" t="s">
        <v>386</v>
      </c>
      <c r="C79" s="300">
        <v>200000</v>
      </c>
      <c r="D79" s="300"/>
      <c r="E79" s="300">
        <v>300000</v>
      </c>
      <c r="F79" s="300"/>
      <c r="G79" s="300">
        <v>408000</v>
      </c>
      <c r="H79" s="300"/>
      <c r="I79" s="300">
        <v>250000</v>
      </c>
      <c r="J79" s="300"/>
    </row>
    <row r="80" spans="1:10" x14ac:dyDescent="0.2">
      <c r="B80" s="28" t="s">
        <v>60</v>
      </c>
      <c r="C80" s="300">
        <v>0</v>
      </c>
      <c r="D80" s="300"/>
      <c r="E80" s="300">
        <v>0</v>
      </c>
      <c r="F80" s="300"/>
      <c r="G80" s="300">
        <v>0</v>
      </c>
      <c r="H80" s="300"/>
      <c r="I80" s="300">
        <v>0</v>
      </c>
      <c r="J80" s="300"/>
    </row>
    <row r="81" spans="1:10" ht="13.5" customHeight="1" x14ac:dyDescent="0.2">
      <c r="A81" s="25">
        <v>203013</v>
      </c>
      <c r="B81" s="320" t="s">
        <v>635</v>
      </c>
      <c r="C81" s="300">
        <v>50000</v>
      </c>
      <c r="D81" s="300"/>
      <c r="E81" s="300">
        <v>75000</v>
      </c>
      <c r="F81" s="300"/>
      <c r="G81" s="300">
        <v>80000</v>
      </c>
      <c r="H81" s="300"/>
      <c r="I81" s="300">
        <v>202000</v>
      </c>
      <c r="J81" s="300"/>
    </row>
    <row r="82" spans="1:10" ht="13.5" customHeight="1" x14ac:dyDescent="0.2">
      <c r="A82" s="25">
        <v>208014</v>
      </c>
      <c r="B82" s="320" t="s">
        <v>148</v>
      </c>
      <c r="C82" s="314">
        <v>0</v>
      </c>
      <c r="D82" s="300"/>
      <c r="E82" s="314">
        <v>0</v>
      </c>
      <c r="F82" s="300"/>
      <c r="G82" s="314">
        <v>50000</v>
      </c>
      <c r="H82" s="300"/>
      <c r="I82" s="314">
        <v>100000</v>
      </c>
      <c r="J82" s="300"/>
    </row>
    <row r="84" spans="1:10" x14ac:dyDescent="0.2">
      <c r="B84" s="305" t="s">
        <v>121</v>
      </c>
      <c r="C84" s="315">
        <f>SUM(C71:C82)</f>
        <v>675400</v>
      </c>
      <c r="D84" s="315"/>
      <c r="E84" s="315">
        <f>SUM(E71:E82)</f>
        <v>1087750</v>
      </c>
      <c r="F84" s="315"/>
      <c r="G84" s="315">
        <f>SUM(G71:G82)</f>
        <v>1044000</v>
      </c>
      <c r="H84" s="315"/>
      <c r="I84" s="315">
        <f>SUM(I71:I82)</f>
        <v>1393120</v>
      </c>
      <c r="J84" s="315"/>
    </row>
    <row r="86" spans="1:10" x14ac:dyDescent="0.2">
      <c r="B86" s="305" t="s">
        <v>20</v>
      </c>
    </row>
    <row r="87" spans="1:10" x14ac:dyDescent="0.2">
      <c r="A87" s="25">
        <v>204010</v>
      </c>
      <c r="B87" s="28" t="s">
        <v>44</v>
      </c>
      <c r="C87" s="300">
        <v>225000</v>
      </c>
      <c r="E87" s="300">
        <v>325000</v>
      </c>
      <c r="G87" s="300">
        <v>400000</v>
      </c>
      <c r="I87" s="300">
        <v>575000</v>
      </c>
    </row>
    <row r="88" spans="1:10" x14ac:dyDescent="0.2">
      <c r="A88" s="25">
        <v>204011</v>
      </c>
      <c r="B88" s="28" t="s">
        <v>45</v>
      </c>
      <c r="C88" s="300">
        <v>75000</v>
      </c>
      <c r="E88" s="300">
        <v>100000</v>
      </c>
      <c r="G88" s="300">
        <v>150000</v>
      </c>
      <c r="I88" s="300">
        <v>155000</v>
      </c>
    </row>
    <row r="89" spans="1:10" x14ac:dyDescent="0.2">
      <c r="B89" s="28" t="s">
        <v>381</v>
      </c>
      <c r="C89" s="300">
        <v>0</v>
      </c>
      <c r="E89" s="300">
        <v>0</v>
      </c>
      <c r="G89" s="300">
        <v>0</v>
      </c>
      <c r="I89" s="300">
        <v>0</v>
      </c>
    </row>
    <row r="90" spans="1:10" x14ac:dyDescent="0.2">
      <c r="A90" s="25">
        <v>205010</v>
      </c>
      <c r="B90" s="28" t="s">
        <v>271</v>
      </c>
      <c r="C90" s="300">
        <v>45000</v>
      </c>
      <c r="E90" s="300">
        <v>60000</v>
      </c>
      <c r="G90" s="300">
        <v>75000</v>
      </c>
      <c r="H90" s="313">
        <v>0</v>
      </c>
      <c r="I90" s="300">
        <v>90000</v>
      </c>
    </row>
    <row r="91" spans="1:10" x14ac:dyDescent="0.2">
      <c r="A91" s="25">
        <v>205011</v>
      </c>
      <c r="B91" s="28" t="s">
        <v>222</v>
      </c>
      <c r="C91" s="300">
        <v>125000</v>
      </c>
      <c r="E91" s="300">
        <v>150000</v>
      </c>
      <c r="G91" s="300">
        <v>200000</v>
      </c>
      <c r="I91" s="300">
        <v>125000</v>
      </c>
    </row>
    <row r="92" spans="1:10" x14ac:dyDescent="0.2">
      <c r="A92" s="25">
        <v>204013</v>
      </c>
      <c r="B92" s="28" t="s">
        <v>46</v>
      </c>
      <c r="C92" s="300">
        <v>7500</v>
      </c>
      <c r="E92" s="300">
        <v>8750</v>
      </c>
      <c r="G92" s="300">
        <v>10000</v>
      </c>
      <c r="I92" s="300">
        <v>10020</v>
      </c>
    </row>
    <row r="93" spans="1:10" x14ac:dyDescent="0.2">
      <c r="A93" s="25">
        <v>204014</v>
      </c>
      <c r="B93" s="28" t="s">
        <v>48</v>
      </c>
      <c r="C93" s="300">
        <v>160000</v>
      </c>
      <c r="E93" s="300">
        <v>180000</v>
      </c>
      <c r="G93" s="300">
        <v>300000</v>
      </c>
      <c r="I93" s="300">
        <f>1340370-SUM(I87:I92)</f>
        <v>385350</v>
      </c>
    </row>
    <row r="94" spans="1:10" x14ac:dyDescent="0.2">
      <c r="B94" s="28" t="s">
        <v>47</v>
      </c>
      <c r="C94" s="300"/>
      <c r="E94" s="300">
        <v>0</v>
      </c>
      <c r="G94" s="300">
        <v>0</v>
      </c>
      <c r="I94" s="300">
        <v>0</v>
      </c>
    </row>
    <row r="95" spans="1:10" x14ac:dyDescent="0.2">
      <c r="B95" s="320" t="s">
        <v>142</v>
      </c>
      <c r="C95" s="300">
        <v>0</v>
      </c>
      <c r="D95" s="300"/>
      <c r="E95" s="300">
        <v>0</v>
      </c>
      <c r="F95" s="300"/>
      <c r="G95" s="300">
        <v>0</v>
      </c>
      <c r="H95" s="300"/>
      <c r="I95" s="300">
        <v>0</v>
      </c>
      <c r="J95" s="300"/>
    </row>
    <row r="96" spans="1:10" x14ac:dyDescent="0.2">
      <c r="B96" s="320" t="s">
        <v>143</v>
      </c>
      <c r="C96" s="314">
        <v>0</v>
      </c>
      <c r="D96" s="300"/>
      <c r="E96" s="314">
        <v>0</v>
      </c>
      <c r="F96" s="300"/>
      <c r="G96" s="314"/>
      <c r="H96" s="300"/>
      <c r="I96" s="314">
        <v>0</v>
      </c>
      <c r="J96" s="300"/>
    </row>
    <row r="97" spans="1:10" x14ac:dyDescent="0.2">
      <c r="B97" s="321"/>
    </row>
    <row r="98" spans="1:10" x14ac:dyDescent="0.2">
      <c r="B98" s="322" t="s">
        <v>49</v>
      </c>
      <c r="C98" s="315">
        <f>SUM(C87:C96)</f>
        <v>637500</v>
      </c>
      <c r="D98" s="315"/>
      <c r="E98" s="315">
        <f>SUM(E87:E96)</f>
        <v>823750</v>
      </c>
      <c r="F98" s="315"/>
      <c r="G98" s="315">
        <f>SUM(G87:G96)</f>
        <v>1135000</v>
      </c>
      <c r="H98" s="315"/>
      <c r="I98" s="315">
        <f>SUM(I87:I96)</f>
        <v>1340370</v>
      </c>
      <c r="J98" s="315"/>
    </row>
    <row r="101" spans="1:10" x14ac:dyDescent="0.2">
      <c r="B101" s="305" t="s">
        <v>146</v>
      </c>
      <c r="C101" s="315">
        <f>C84-C98</f>
        <v>37900</v>
      </c>
      <c r="D101" s="315"/>
      <c r="E101" s="315">
        <f>E84-E98</f>
        <v>264000</v>
      </c>
      <c r="F101" s="315"/>
      <c r="G101" s="315">
        <f>G84-G98</f>
        <v>-91000</v>
      </c>
      <c r="H101" s="315"/>
      <c r="I101" s="315">
        <f>I84-I98</f>
        <v>52750</v>
      </c>
      <c r="J101" s="315"/>
    </row>
    <row r="102" spans="1:10" x14ac:dyDescent="0.2">
      <c r="B102" s="305"/>
      <c r="C102" s="315"/>
      <c r="D102" s="315"/>
      <c r="E102" s="315"/>
      <c r="F102" s="315"/>
      <c r="G102" s="315"/>
      <c r="H102" s="315"/>
      <c r="I102" s="315"/>
      <c r="J102" s="315"/>
    </row>
    <row r="103" spans="1:10" x14ac:dyDescent="0.2">
      <c r="B103" s="305" t="s">
        <v>53</v>
      </c>
      <c r="C103" s="315"/>
      <c r="D103" s="315"/>
      <c r="E103" s="315"/>
      <c r="F103" s="315"/>
      <c r="G103" s="315"/>
      <c r="H103" s="315"/>
      <c r="I103" s="315"/>
      <c r="J103" s="315"/>
    </row>
    <row r="104" spans="1:10" x14ac:dyDescent="0.2">
      <c r="A104" s="25">
        <v>207010</v>
      </c>
      <c r="B104" s="319" t="s">
        <v>379</v>
      </c>
      <c r="C104" s="300">
        <v>0</v>
      </c>
      <c r="D104" s="315"/>
      <c r="E104" s="300">
        <v>100000</v>
      </c>
      <c r="F104" s="315"/>
      <c r="G104" s="300">
        <v>250000</v>
      </c>
      <c r="H104" s="315"/>
      <c r="I104" s="300">
        <v>50000</v>
      </c>
      <c r="J104" s="315"/>
    </row>
    <row r="105" spans="1:10" x14ac:dyDescent="0.2">
      <c r="B105" s="319" t="s">
        <v>223</v>
      </c>
      <c r="C105" s="300"/>
      <c r="D105" s="315"/>
      <c r="E105" s="300"/>
      <c r="F105" s="315"/>
      <c r="G105" s="300">
        <v>0</v>
      </c>
      <c r="H105" s="315"/>
      <c r="I105" s="300">
        <v>0</v>
      </c>
      <c r="J105" s="315"/>
    </row>
    <row r="106" spans="1:10" x14ac:dyDescent="0.2">
      <c r="B106" s="319" t="s">
        <v>380</v>
      </c>
      <c r="C106" s="300">
        <v>0</v>
      </c>
      <c r="D106" s="315"/>
      <c r="E106" s="300">
        <v>0</v>
      </c>
      <c r="F106" s="315"/>
      <c r="G106" s="300">
        <v>0</v>
      </c>
      <c r="H106" s="315"/>
      <c r="I106" s="300">
        <v>0</v>
      </c>
      <c r="J106" s="315"/>
    </row>
    <row r="107" spans="1:10" x14ac:dyDescent="0.2">
      <c r="B107" s="319" t="s">
        <v>62</v>
      </c>
      <c r="C107" s="300"/>
      <c r="D107" s="315"/>
      <c r="E107" s="300"/>
      <c r="F107" s="315"/>
      <c r="G107" s="300">
        <v>0</v>
      </c>
      <c r="H107" s="315"/>
      <c r="I107" s="300"/>
      <c r="J107" s="315"/>
    </row>
    <row r="108" spans="1:10" x14ac:dyDescent="0.2">
      <c r="A108" s="25">
        <v>207014</v>
      </c>
      <c r="B108" s="319" t="s">
        <v>123</v>
      </c>
      <c r="C108" s="323">
        <f>-C82</f>
        <v>0</v>
      </c>
      <c r="D108" s="315"/>
      <c r="E108" s="323">
        <f>-E82</f>
        <v>0</v>
      </c>
      <c r="F108" s="315"/>
      <c r="G108" s="323">
        <v>-50000</v>
      </c>
      <c r="H108" s="315"/>
      <c r="I108" s="323">
        <v>-100000</v>
      </c>
      <c r="J108" s="315"/>
    </row>
    <row r="109" spans="1:10" x14ac:dyDescent="0.2">
      <c r="B109" s="305" t="s">
        <v>147</v>
      </c>
      <c r="C109" s="324">
        <f>SUM(C104:C108)</f>
        <v>0</v>
      </c>
      <c r="D109" s="325"/>
      <c r="E109" s="324">
        <f>SUM(E104:E108)</f>
        <v>100000</v>
      </c>
      <c r="F109" s="325"/>
      <c r="G109" s="324">
        <f>SUM(G104:G108)</f>
        <v>200000</v>
      </c>
      <c r="H109" s="325"/>
      <c r="I109" s="324">
        <f>SUM(I104:I108)</f>
        <v>-50000</v>
      </c>
      <c r="J109" s="325"/>
    </row>
    <row r="110" spans="1:10" x14ac:dyDescent="0.2">
      <c r="B110" s="305"/>
      <c r="C110" s="326"/>
      <c r="D110" s="315"/>
      <c r="E110" s="326"/>
      <c r="F110" s="315"/>
      <c r="G110" s="326"/>
      <c r="H110" s="315"/>
      <c r="I110" s="326"/>
      <c r="J110" s="315"/>
    </row>
    <row r="111" spans="1:10" x14ac:dyDescent="0.2">
      <c r="B111" s="327" t="s">
        <v>54</v>
      </c>
      <c r="C111" s="328"/>
      <c r="E111" s="328"/>
      <c r="G111" s="328"/>
      <c r="I111" s="328"/>
    </row>
    <row r="112" spans="1:10" ht="15" x14ac:dyDescent="0.35">
      <c r="B112" s="28" t="s">
        <v>55</v>
      </c>
      <c r="C112" s="329">
        <v>0</v>
      </c>
      <c r="D112" s="329"/>
      <c r="E112" s="329">
        <v>0</v>
      </c>
      <c r="F112" s="329">
        <v>1096908</v>
      </c>
      <c r="G112" s="329">
        <v>0</v>
      </c>
      <c r="H112" s="329">
        <v>1096908</v>
      </c>
      <c r="I112" s="329">
        <v>0</v>
      </c>
      <c r="J112" s="329"/>
    </row>
    <row r="113" spans="1:10" x14ac:dyDescent="0.2">
      <c r="B113" s="327" t="s">
        <v>54</v>
      </c>
      <c r="C113" s="106">
        <f>C112</f>
        <v>0</v>
      </c>
      <c r="D113" s="300"/>
      <c r="E113" s="106">
        <f>E112</f>
        <v>0</v>
      </c>
      <c r="F113" s="300"/>
      <c r="G113" s="106">
        <f>G112</f>
        <v>0</v>
      </c>
      <c r="H113" s="300"/>
      <c r="I113" s="106">
        <f>I112</f>
        <v>0</v>
      </c>
      <c r="J113" s="300"/>
    </row>
    <row r="114" spans="1:10" x14ac:dyDescent="0.2">
      <c r="B114" s="305"/>
      <c r="C114" s="326"/>
      <c r="D114" s="315"/>
      <c r="E114" s="326"/>
      <c r="F114" s="315"/>
      <c r="G114" s="326"/>
      <c r="H114" s="315"/>
      <c r="I114" s="326"/>
      <c r="J114" s="315"/>
    </row>
    <row r="115" spans="1:10" x14ac:dyDescent="0.2">
      <c r="B115" s="305"/>
      <c r="C115" s="326"/>
      <c r="D115" s="315"/>
      <c r="E115" s="326"/>
      <c r="F115" s="315"/>
      <c r="G115" s="326"/>
      <c r="H115" s="315"/>
      <c r="I115" s="326"/>
      <c r="J115" s="315"/>
    </row>
    <row r="116" spans="1:10" x14ac:dyDescent="0.2">
      <c r="B116" s="319"/>
      <c r="C116" s="315"/>
      <c r="D116" s="315"/>
      <c r="E116" s="315"/>
      <c r="F116" s="315"/>
      <c r="G116" s="315"/>
      <c r="H116" s="315"/>
      <c r="I116" s="315"/>
      <c r="J116" s="315"/>
    </row>
    <row r="117" spans="1:10" x14ac:dyDescent="0.2">
      <c r="B117" s="305" t="s">
        <v>122</v>
      </c>
      <c r="C117" s="315">
        <f>C101+C109+C113</f>
        <v>37900</v>
      </c>
      <c r="D117" s="315"/>
      <c r="E117" s="315">
        <f>E101+E109+E113</f>
        <v>364000</v>
      </c>
      <c r="F117" s="315"/>
      <c r="G117" s="315">
        <f>G101+G109+G113</f>
        <v>109000</v>
      </c>
      <c r="H117" s="315"/>
      <c r="I117" s="315">
        <f>I101+I109+I113</f>
        <v>2750</v>
      </c>
      <c r="J117" s="315"/>
    </row>
    <row r="118" spans="1:10" x14ac:dyDescent="0.2">
      <c r="B118" s="305"/>
      <c r="C118" s="315"/>
      <c r="D118" s="315"/>
      <c r="E118" s="315"/>
      <c r="F118" s="315"/>
      <c r="G118" s="315"/>
      <c r="H118" s="315"/>
      <c r="I118" s="315"/>
      <c r="J118" s="315"/>
    </row>
    <row r="119" spans="1:10" x14ac:dyDescent="0.2">
      <c r="B119" s="305"/>
      <c r="C119" s="315"/>
      <c r="D119" s="315"/>
      <c r="E119" s="315"/>
      <c r="F119" s="315"/>
      <c r="G119" s="315"/>
      <c r="H119" s="315"/>
      <c r="I119" s="315"/>
      <c r="J119" s="315"/>
    </row>
    <row r="120" spans="1:10" x14ac:dyDescent="0.2">
      <c r="B120" s="25" t="s">
        <v>124</v>
      </c>
      <c r="C120" s="315">
        <v>217619</v>
      </c>
      <c r="D120" s="315"/>
      <c r="E120" s="315">
        <f>C121</f>
        <v>1968000</v>
      </c>
      <c r="F120" s="315"/>
      <c r="G120" s="315">
        <f>E121</f>
        <v>2332000</v>
      </c>
      <c r="H120" s="315"/>
      <c r="I120" s="315">
        <f>G121</f>
        <v>2441000</v>
      </c>
      <c r="J120" s="315"/>
    </row>
    <row r="121" spans="1:10" x14ac:dyDescent="0.2">
      <c r="B121" s="25" t="s">
        <v>125</v>
      </c>
      <c r="C121" s="315">
        <f>C60</f>
        <v>1968000</v>
      </c>
      <c r="D121" s="315"/>
      <c r="E121" s="315">
        <f>E60</f>
        <v>2332000</v>
      </c>
      <c r="F121" s="315"/>
      <c r="G121" s="315">
        <f>G60</f>
        <v>2441000</v>
      </c>
      <c r="H121" s="315"/>
      <c r="I121" s="315">
        <f>I120+I117</f>
        <v>2443750</v>
      </c>
      <c r="J121" s="315"/>
    </row>
    <row r="122" spans="1:10" x14ac:dyDescent="0.2">
      <c r="B122" s="25" t="s">
        <v>126</v>
      </c>
      <c r="C122" s="332">
        <f>C120+C117-C121</f>
        <v>-1712481</v>
      </c>
      <c r="D122" s="332"/>
      <c r="E122" s="332">
        <f>E120+E117-E121</f>
        <v>0</v>
      </c>
      <c r="F122" s="332"/>
      <c r="G122" s="332">
        <f>G120+G117-G121</f>
        <v>0</v>
      </c>
      <c r="H122" s="332"/>
      <c r="I122" s="332">
        <f>I121-I60</f>
        <v>0</v>
      </c>
      <c r="J122" s="332"/>
    </row>
    <row r="124" spans="1:10" x14ac:dyDescent="0.2">
      <c r="B124" s="25" t="s">
        <v>274</v>
      </c>
      <c r="C124" s="315"/>
    </row>
    <row r="125" spans="1:10" x14ac:dyDescent="0.2">
      <c r="A125" s="25">
        <v>301001</v>
      </c>
      <c r="B125" s="25" t="s">
        <v>144</v>
      </c>
      <c r="C125" s="419">
        <v>100000</v>
      </c>
      <c r="D125" s="419"/>
      <c r="E125" s="419">
        <v>150000</v>
      </c>
      <c r="F125" s="419"/>
      <c r="G125" s="419">
        <v>50000</v>
      </c>
      <c r="H125" s="419"/>
      <c r="I125" s="299">
        <v>100000</v>
      </c>
      <c r="J125" s="299"/>
    </row>
    <row r="126" spans="1:10" x14ac:dyDescent="0.2">
      <c r="A126" s="25">
        <v>301002</v>
      </c>
      <c r="B126" s="25" t="s">
        <v>145</v>
      </c>
      <c r="C126" s="419">
        <v>50000</v>
      </c>
      <c r="D126" s="419"/>
      <c r="E126" s="419">
        <v>0</v>
      </c>
      <c r="F126" s="419"/>
      <c r="G126" s="419">
        <v>100000</v>
      </c>
      <c r="H126" s="419"/>
      <c r="I126" s="299">
        <v>50000</v>
      </c>
      <c r="J126" s="299"/>
    </row>
    <row r="127" spans="1:10" x14ac:dyDescent="0.2">
      <c r="A127" s="25">
        <v>301003</v>
      </c>
      <c r="B127" s="25" t="s">
        <v>273</v>
      </c>
      <c r="C127" s="419">
        <v>25000</v>
      </c>
      <c r="D127" s="419"/>
      <c r="E127" s="419">
        <v>75000</v>
      </c>
      <c r="F127" s="419"/>
      <c r="G127" s="419">
        <v>5000</v>
      </c>
      <c r="H127" s="419"/>
      <c r="I127" s="333">
        <v>65000</v>
      </c>
      <c r="J127" s="299"/>
    </row>
    <row r="128" spans="1:10" x14ac:dyDescent="0.2">
      <c r="C128" s="523">
        <f>SUM(C125:C127)</f>
        <v>175000</v>
      </c>
      <c r="D128" s="523"/>
      <c r="E128" s="523">
        <f>SUM(E125:E127)</f>
        <v>225000</v>
      </c>
      <c r="F128" s="523"/>
      <c r="G128" s="523">
        <f>SUM(G125:G127)</f>
        <v>155000</v>
      </c>
      <c r="H128" s="523"/>
      <c r="I128" s="523">
        <f>SUM(I125:I127)</f>
        <v>215000</v>
      </c>
      <c r="J128" s="523"/>
    </row>
    <row r="129" spans="1:10" x14ac:dyDescent="0.2">
      <c r="C129" s="299"/>
      <c r="D129" s="299"/>
      <c r="E129" s="299"/>
      <c r="F129" s="299"/>
      <c r="G129" s="299"/>
      <c r="H129" s="299"/>
      <c r="I129" s="299"/>
      <c r="J129" s="299"/>
    </row>
    <row r="130" spans="1:10" x14ac:dyDescent="0.2">
      <c r="A130" s="25">
        <v>301005</v>
      </c>
      <c r="B130" s="25" t="s">
        <v>495</v>
      </c>
      <c r="C130" s="299">
        <v>50000</v>
      </c>
      <c r="D130" s="299"/>
      <c r="E130" s="299">
        <v>20000</v>
      </c>
      <c r="F130" s="299"/>
      <c r="G130" s="299">
        <v>120000</v>
      </c>
      <c r="H130" s="299"/>
      <c r="I130" s="299">
        <v>30000</v>
      </c>
      <c r="J130" s="299"/>
    </row>
    <row r="131" spans="1:10" ht="15" x14ac:dyDescent="0.35">
      <c r="A131" s="25">
        <v>301006</v>
      </c>
      <c r="B131" s="25" t="s">
        <v>207</v>
      </c>
      <c r="C131" s="524">
        <v>10000</v>
      </c>
      <c r="D131" s="524"/>
      <c r="E131" s="524">
        <v>18000</v>
      </c>
      <c r="F131" s="524"/>
      <c r="G131" s="524">
        <v>50000</v>
      </c>
      <c r="H131" s="524"/>
      <c r="I131" s="524">
        <v>0</v>
      </c>
      <c r="J131" s="524"/>
    </row>
    <row r="132" spans="1:10" x14ac:dyDescent="0.2">
      <c r="B132" s="25" t="s">
        <v>413</v>
      </c>
      <c r="C132" s="299">
        <f>C130-C131</f>
        <v>40000</v>
      </c>
      <c r="D132" s="299"/>
      <c r="E132" s="299">
        <f>E130-E131</f>
        <v>2000</v>
      </c>
      <c r="F132" s="299"/>
      <c r="G132" s="299">
        <f>G130-G131</f>
        <v>70000</v>
      </c>
      <c r="H132" s="299"/>
      <c r="I132" s="299">
        <f>I130-I131</f>
        <v>30000</v>
      </c>
      <c r="J132" s="299"/>
    </row>
    <row r="134" spans="1:10" x14ac:dyDescent="0.2">
      <c r="B134" s="665" t="s">
        <v>593</v>
      </c>
      <c r="C134" s="299"/>
      <c r="D134" s="299"/>
      <c r="E134" s="299">
        <v>0</v>
      </c>
      <c r="F134" s="299"/>
      <c r="G134" s="299">
        <v>0</v>
      </c>
      <c r="H134" s="299"/>
      <c r="I134" s="299">
        <v>0</v>
      </c>
      <c r="J134" s="299"/>
    </row>
    <row r="135" spans="1:10" x14ac:dyDescent="0.2">
      <c r="B135" s="665" t="s">
        <v>626</v>
      </c>
    </row>
    <row r="136" spans="1:10" x14ac:dyDescent="0.2">
      <c r="C136" s="299"/>
      <c r="D136" s="299"/>
      <c r="E136" s="299"/>
      <c r="F136" s="299"/>
      <c r="G136" s="334"/>
      <c r="H136" s="299"/>
      <c r="I136" s="299"/>
      <c r="J136" s="299"/>
    </row>
    <row r="137" spans="1:10" x14ac:dyDescent="0.2">
      <c r="B137" s="25" t="s">
        <v>544</v>
      </c>
      <c r="C137" s="298">
        <v>0</v>
      </c>
      <c r="D137" s="298"/>
      <c r="E137" s="298">
        <v>0</v>
      </c>
      <c r="F137" s="298"/>
      <c r="G137" s="298">
        <v>0</v>
      </c>
      <c r="H137" s="298"/>
      <c r="I137" s="298">
        <v>0</v>
      </c>
      <c r="J137" s="298"/>
    </row>
    <row r="138" spans="1:10" x14ac:dyDescent="0.2">
      <c r="B138" s="25" t="s">
        <v>219</v>
      </c>
      <c r="C138" s="299"/>
      <c r="D138" s="299"/>
      <c r="E138" s="299">
        <v>0</v>
      </c>
      <c r="F138" s="299"/>
      <c r="G138" s="299">
        <v>0</v>
      </c>
      <c r="H138" s="299"/>
      <c r="I138" s="299">
        <v>0</v>
      </c>
      <c r="J138" s="299"/>
    </row>
    <row r="139" spans="1:10" x14ac:dyDescent="0.2">
      <c r="B139" s="25" t="s">
        <v>557</v>
      </c>
      <c r="E139" s="313">
        <v>0</v>
      </c>
      <c r="G139" s="313">
        <v>0</v>
      </c>
      <c r="I139" s="299">
        <v>0</v>
      </c>
    </row>
    <row r="140" spans="1:10" x14ac:dyDescent="0.2">
      <c r="B140" s="25" t="s">
        <v>558</v>
      </c>
      <c r="E140" s="313">
        <v>0</v>
      </c>
      <c r="G140" s="414">
        <v>0</v>
      </c>
      <c r="I140" s="415">
        <v>0</v>
      </c>
    </row>
    <row r="141" spans="1:10" x14ac:dyDescent="0.2">
      <c r="B141" s="25" t="s">
        <v>372</v>
      </c>
      <c r="G141" s="414"/>
      <c r="I141" s="415"/>
    </row>
    <row r="143" spans="1:10" x14ac:dyDescent="0.2">
      <c r="B143" s="25" t="s">
        <v>220</v>
      </c>
    </row>
    <row r="144" spans="1:10" x14ac:dyDescent="0.2">
      <c r="B144" s="25" t="s">
        <v>218</v>
      </c>
    </row>
    <row r="145" spans="2:10" x14ac:dyDescent="0.2">
      <c r="B145" s="25" t="s">
        <v>302</v>
      </c>
      <c r="C145" s="299">
        <v>0</v>
      </c>
      <c r="D145" s="299"/>
      <c r="E145" s="299">
        <v>0</v>
      </c>
      <c r="F145" s="299"/>
      <c r="G145" s="299">
        <v>0</v>
      </c>
      <c r="H145" s="299"/>
      <c r="I145" s="299">
        <v>0</v>
      </c>
      <c r="J145" s="299"/>
    </row>
    <row r="146" spans="2:10" x14ac:dyDescent="0.2">
      <c r="B146" s="25" t="s">
        <v>285</v>
      </c>
      <c r="C146" s="315">
        <f>C53+C56+C59</f>
        <v>500000</v>
      </c>
      <c r="E146" s="315">
        <f>E53+E56+E59</f>
        <v>800000</v>
      </c>
      <c r="G146" s="315">
        <f>G53+G56+G59</f>
        <v>700000</v>
      </c>
      <c r="I146" s="315">
        <f>I53+I56+I59</f>
        <v>1000000</v>
      </c>
    </row>
    <row r="147" spans="2:10" x14ac:dyDescent="0.2">
      <c r="B147" s="25" t="s">
        <v>286</v>
      </c>
      <c r="C147" s="315">
        <f>C146+C47+C46+C43+C37+C38</f>
        <v>3250000</v>
      </c>
      <c r="E147" s="315">
        <f>E146+E47+E46+E43+E37+E38</f>
        <v>3900000</v>
      </c>
      <c r="G147" s="315">
        <f>G146+G47+G46+G43+G37+G38</f>
        <v>4200000</v>
      </c>
      <c r="I147" s="315">
        <f>I146+I47+I46+I43+I37+I38</f>
        <v>6125000</v>
      </c>
    </row>
    <row r="149" spans="2:10" x14ac:dyDescent="0.2">
      <c r="B149" s="25" t="s">
        <v>216</v>
      </c>
      <c r="E149" s="313">
        <v>0</v>
      </c>
      <c r="G149" s="313">
        <v>0</v>
      </c>
      <c r="I149" s="313">
        <v>0</v>
      </c>
    </row>
    <row r="150" spans="2:10" x14ac:dyDescent="0.2">
      <c r="B150" s="25" t="s">
        <v>217</v>
      </c>
      <c r="E150" s="313">
        <v>0</v>
      </c>
      <c r="G150" s="313">
        <v>0</v>
      </c>
      <c r="I150" s="313">
        <v>0</v>
      </c>
    </row>
    <row r="152" spans="2:10" x14ac:dyDescent="0.2">
      <c r="B152" s="665" t="s">
        <v>551</v>
      </c>
      <c r="C152" s="299">
        <v>0</v>
      </c>
      <c r="D152" s="299"/>
      <c r="E152" s="299">
        <v>0</v>
      </c>
      <c r="F152" s="299"/>
      <c r="G152" s="299">
        <v>0</v>
      </c>
      <c r="H152" s="299"/>
      <c r="I152" s="299">
        <v>0</v>
      </c>
    </row>
    <row r="153" spans="2:10" x14ac:dyDescent="0.2">
      <c r="B153" s="665" t="s">
        <v>552</v>
      </c>
    </row>
    <row r="155" spans="2:10" x14ac:dyDescent="0.2">
      <c r="B155" s="38" t="s">
        <v>374</v>
      </c>
      <c r="C155" s="416">
        <v>0</v>
      </c>
      <c r="E155" s="416">
        <v>0</v>
      </c>
      <c r="G155" s="416">
        <v>0</v>
      </c>
      <c r="I155" s="416">
        <v>0</v>
      </c>
    </row>
    <row r="156" spans="2:10" x14ac:dyDescent="0.2">
      <c r="B156" s="38" t="s">
        <v>374</v>
      </c>
      <c r="C156" s="416">
        <v>0</v>
      </c>
      <c r="E156" s="416">
        <v>0</v>
      </c>
      <c r="G156" s="416">
        <v>0</v>
      </c>
      <c r="I156" s="416">
        <v>0</v>
      </c>
    </row>
    <row r="157" spans="2:10" x14ac:dyDescent="0.2">
      <c r="B157" s="38" t="s">
        <v>374</v>
      </c>
      <c r="C157" s="416">
        <v>0</v>
      </c>
      <c r="E157" s="416">
        <v>0</v>
      </c>
      <c r="G157" s="416">
        <v>0</v>
      </c>
      <c r="I157" s="416">
        <v>0</v>
      </c>
    </row>
    <row r="158" spans="2:10" x14ac:dyDescent="0.2">
      <c r="B158" s="38" t="s">
        <v>374</v>
      </c>
      <c r="C158" s="416">
        <v>0</v>
      </c>
      <c r="E158" s="416">
        <v>0</v>
      </c>
      <c r="G158" s="416">
        <v>0</v>
      </c>
      <c r="I158" s="416">
        <v>0</v>
      </c>
    </row>
    <row r="159" spans="2:10" x14ac:dyDescent="0.2">
      <c r="B159" s="38" t="s">
        <v>374</v>
      </c>
      <c r="C159" s="417">
        <v>0</v>
      </c>
      <c r="E159" s="417">
        <v>0</v>
      </c>
      <c r="G159" s="417">
        <v>0</v>
      </c>
      <c r="I159" s="417">
        <v>0</v>
      </c>
    </row>
    <row r="160" spans="2:10" x14ac:dyDescent="0.2">
      <c r="B160" s="39" t="s">
        <v>373</v>
      </c>
      <c r="C160" s="417">
        <v>0</v>
      </c>
      <c r="E160" s="417">
        <v>0</v>
      </c>
      <c r="G160" s="417">
        <v>0</v>
      </c>
      <c r="I160" s="417">
        <v>0</v>
      </c>
    </row>
    <row r="161" spans="2:9" x14ac:dyDescent="0.2">
      <c r="B161" s="39" t="s">
        <v>373</v>
      </c>
      <c r="C161" s="417">
        <v>0</v>
      </c>
      <c r="E161" s="417">
        <v>0</v>
      </c>
      <c r="G161" s="417">
        <v>0</v>
      </c>
      <c r="I161" s="417">
        <v>0</v>
      </c>
    </row>
    <row r="162" spans="2:9" x14ac:dyDescent="0.2">
      <c r="B162" s="39" t="s">
        <v>373</v>
      </c>
      <c r="C162" s="416">
        <v>0</v>
      </c>
      <c r="E162" s="416">
        <v>0</v>
      </c>
      <c r="G162" s="416">
        <v>0</v>
      </c>
      <c r="I162" s="416">
        <v>0</v>
      </c>
    </row>
    <row r="163" spans="2:9" x14ac:dyDescent="0.2">
      <c r="B163" s="39" t="s">
        <v>373</v>
      </c>
      <c r="C163" s="416">
        <v>0</v>
      </c>
      <c r="E163" s="416">
        <v>0</v>
      </c>
      <c r="G163" s="416">
        <v>0</v>
      </c>
      <c r="I163" s="416">
        <v>0</v>
      </c>
    </row>
    <row r="164" spans="2:9" x14ac:dyDescent="0.2">
      <c r="G164" s="25"/>
      <c r="I164" s="25"/>
    </row>
    <row r="165" spans="2:9" x14ac:dyDescent="0.2">
      <c r="B165" s="31" t="s">
        <v>136</v>
      </c>
      <c r="I165" s="335"/>
    </row>
    <row r="167" spans="2:9" x14ac:dyDescent="0.2">
      <c r="B167" s="39" t="s">
        <v>304</v>
      </c>
    </row>
    <row r="168" spans="2:9" x14ac:dyDescent="0.2">
      <c r="B168" s="39" t="s">
        <v>304</v>
      </c>
    </row>
    <row r="172" spans="2:9" x14ac:dyDescent="0.2">
      <c r="B172" s="502" t="s">
        <v>486</v>
      </c>
    </row>
    <row r="173" spans="2:9" x14ac:dyDescent="0.2">
      <c r="B173" t="s">
        <v>450</v>
      </c>
      <c r="C173" s="299"/>
    </row>
    <row r="174" spans="2:9" x14ac:dyDescent="0.2">
      <c r="B174" t="s">
        <v>454</v>
      </c>
      <c r="C174" s="299"/>
    </row>
    <row r="175" spans="2:9" x14ac:dyDescent="0.2">
      <c r="B175" t="s">
        <v>452</v>
      </c>
      <c r="C175" s="299"/>
    </row>
    <row r="176" spans="2:9" x14ac:dyDescent="0.2">
      <c r="B176" t="s">
        <v>455</v>
      </c>
      <c r="C176" s="299"/>
    </row>
    <row r="177" spans="2:16" x14ac:dyDescent="0.2">
      <c r="B177" t="s">
        <v>451</v>
      </c>
      <c r="C177" s="299"/>
    </row>
    <row r="179" spans="2:16" ht="51" customHeight="1" x14ac:dyDescent="0.2">
      <c r="B179" s="502" t="s">
        <v>487</v>
      </c>
      <c r="L179" s="503" t="s">
        <v>463</v>
      </c>
      <c r="M179" s="504"/>
      <c r="N179" s="503" t="s">
        <v>461</v>
      </c>
    </row>
    <row r="180" spans="2:16" x14ac:dyDescent="0.2">
      <c r="B180" s="506" t="s">
        <v>459</v>
      </c>
      <c r="L180" s="299">
        <v>0</v>
      </c>
      <c r="M180" s="313"/>
      <c r="N180" s="299">
        <v>0</v>
      </c>
    </row>
    <row r="181" spans="2:16" x14ac:dyDescent="0.2">
      <c r="B181" s="506" t="s">
        <v>455</v>
      </c>
      <c r="L181" s="299">
        <v>0</v>
      </c>
      <c r="M181" s="313"/>
      <c r="N181" s="299">
        <v>0</v>
      </c>
    </row>
    <row r="182" spans="2:16" x14ac:dyDescent="0.2">
      <c r="B182" s="506" t="s">
        <v>450</v>
      </c>
      <c r="L182" s="299">
        <v>0</v>
      </c>
      <c r="M182" s="313"/>
      <c r="N182" s="299">
        <v>0</v>
      </c>
    </row>
    <row r="183" spans="2:16" x14ac:dyDescent="0.2">
      <c r="B183" s="506" t="s">
        <v>460</v>
      </c>
      <c r="L183" s="299">
        <v>0</v>
      </c>
      <c r="M183" s="313"/>
      <c r="N183" s="299">
        <v>0</v>
      </c>
    </row>
    <row r="184" spans="2:16" x14ac:dyDescent="0.2">
      <c r="B184" s="507" t="s">
        <v>101</v>
      </c>
      <c r="L184" s="299">
        <v>0</v>
      </c>
      <c r="M184" s="313"/>
      <c r="N184" s="299">
        <v>0</v>
      </c>
    </row>
    <row r="185" spans="2:16" x14ac:dyDescent="0.2">
      <c r="B185" s="507"/>
      <c r="L185" s="299"/>
      <c r="M185" s="313"/>
      <c r="N185" s="299"/>
      <c r="O185" s="313"/>
      <c r="P185" s="299"/>
    </row>
    <row r="186" spans="2:16" ht="25.5" x14ac:dyDescent="0.2">
      <c r="B186" s="509" t="s">
        <v>488</v>
      </c>
      <c r="C186" s="510"/>
      <c r="L186" s="646" t="s">
        <v>586</v>
      </c>
    </row>
    <row r="187" spans="2:16" x14ac:dyDescent="0.2">
      <c r="B187" s="511" t="s">
        <v>491</v>
      </c>
      <c r="L187" s="652">
        <v>0</v>
      </c>
    </row>
    <row r="188" spans="2:16" x14ac:dyDescent="0.2">
      <c r="B188" s="511" t="s">
        <v>491</v>
      </c>
      <c r="L188" s="652">
        <v>0</v>
      </c>
    </row>
    <row r="189" spans="2:16" x14ac:dyDescent="0.2">
      <c r="B189" s="511" t="s">
        <v>491</v>
      </c>
      <c r="L189" s="652">
        <v>0</v>
      </c>
    </row>
    <row r="190" spans="2:16" x14ac:dyDescent="0.2">
      <c r="B190" s="511" t="s">
        <v>491</v>
      </c>
      <c r="L190" s="652">
        <v>0</v>
      </c>
    </row>
    <row r="191" spans="2:16" x14ac:dyDescent="0.2">
      <c r="B191" s="511" t="s">
        <v>491</v>
      </c>
      <c r="L191" s="652">
        <v>0</v>
      </c>
    </row>
    <row r="192" spans="2:16" x14ac:dyDescent="0.2">
      <c r="B192" s="511"/>
      <c r="L192" s="660"/>
    </row>
    <row r="193" spans="2:12" ht="25.5" x14ac:dyDescent="0.2">
      <c r="B193" s="509" t="s">
        <v>592</v>
      </c>
      <c r="I193" s="661" t="s">
        <v>591</v>
      </c>
      <c r="J193" s="25"/>
      <c r="K193" s="301"/>
      <c r="L193" s="660"/>
    </row>
    <row r="194" spans="2:12" x14ac:dyDescent="0.2">
      <c r="B194" s="511"/>
      <c r="I194" s="662"/>
      <c r="J194" s="25"/>
      <c r="K194" s="301"/>
      <c r="L194" s="660"/>
    </row>
    <row r="195" spans="2:12" x14ac:dyDescent="0.2">
      <c r="B195" s="511"/>
      <c r="I195" s="662"/>
      <c r="J195" s="25"/>
      <c r="K195" s="301"/>
      <c r="L195" s="660"/>
    </row>
    <row r="196" spans="2:12" x14ac:dyDescent="0.2">
      <c r="B196" s="511"/>
      <c r="I196" s="662"/>
      <c r="J196" s="25"/>
      <c r="K196" s="301"/>
      <c r="L196" s="660"/>
    </row>
    <row r="197" spans="2:12" x14ac:dyDescent="0.2">
      <c r="B197" s="511"/>
      <c r="I197" s="662"/>
      <c r="J197" s="25"/>
      <c r="K197" s="301"/>
      <c r="L197" s="660"/>
    </row>
    <row r="198" spans="2:12" x14ac:dyDescent="0.2">
      <c r="B198" s="511"/>
      <c r="I198" s="662"/>
      <c r="J198" s="25"/>
      <c r="K198" s="301"/>
      <c r="L198" s="660"/>
    </row>
    <row r="200" spans="2:12" ht="25.5" x14ac:dyDescent="0.2">
      <c r="B200" s="508" t="s">
        <v>489</v>
      </c>
      <c r="L200" s="526" t="s">
        <v>528</v>
      </c>
    </row>
    <row r="201" spans="2:12" x14ac:dyDescent="0.2">
      <c r="B201" s="511" t="s">
        <v>490</v>
      </c>
      <c r="L201" s="299">
        <v>0</v>
      </c>
    </row>
    <row r="202" spans="2:12" x14ac:dyDescent="0.2">
      <c r="B202" s="511" t="s">
        <v>490</v>
      </c>
      <c r="L202" s="299">
        <v>0</v>
      </c>
    </row>
    <row r="203" spans="2:12" x14ac:dyDescent="0.2">
      <c r="B203" s="511" t="s">
        <v>490</v>
      </c>
      <c r="L203" s="299">
        <v>0</v>
      </c>
    </row>
    <row r="204" spans="2:12" x14ac:dyDescent="0.2">
      <c r="B204" s="511" t="s">
        <v>490</v>
      </c>
      <c r="L204" s="299">
        <v>0</v>
      </c>
    </row>
    <row r="205" spans="2:12" x14ac:dyDescent="0.2">
      <c r="B205" s="511" t="s">
        <v>490</v>
      </c>
      <c r="L205" s="299">
        <v>0</v>
      </c>
    </row>
    <row r="207" spans="2:12" x14ac:dyDescent="0.2">
      <c r="B207" s="693" t="s">
        <v>615</v>
      </c>
      <c r="L207" s="665" t="s">
        <v>616</v>
      </c>
    </row>
    <row r="208" spans="2:12" x14ac:dyDescent="0.2">
      <c r="B208" s="507" t="s">
        <v>492</v>
      </c>
      <c r="C208" s="516">
        <v>0</v>
      </c>
      <c r="D208" s="518"/>
      <c r="E208" s="516">
        <v>0</v>
      </c>
      <c r="F208" s="518"/>
      <c r="G208" s="516">
        <v>0</v>
      </c>
      <c r="H208" s="518"/>
      <c r="I208" s="516">
        <v>0</v>
      </c>
      <c r="J208" s="518"/>
      <c r="K208" s="337"/>
      <c r="L208" s="516">
        <v>0</v>
      </c>
    </row>
    <row r="209" spans="2:14" x14ac:dyDescent="0.2">
      <c r="B209" s="507" t="s">
        <v>493</v>
      </c>
      <c r="C209" s="516">
        <v>0</v>
      </c>
      <c r="D209" s="518"/>
      <c r="E209" s="516">
        <v>0</v>
      </c>
      <c r="F209" s="518"/>
      <c r="G209" s="516">
        <v>0</v>
      </c>
      <c r="H209" s="518"/>
      <c r="I209" s="516">
        <v>0</v>
      </c>
      <c r="J209" s="518"/>
      <c r="K209" s="337"/>
      <c r="L209" s="516">
        <v>0</v>
      </c>
    </row>
    <row r="210" spans="2:14" x14ac:dyDescent="0.2">
      <c r="B210" s="25" t="s">
        <v>494</v>
      </c>
      <c r="C210" s="516">
        <v>0</v>
      </c>
      <c r="D210" s="518"/>
      <c r="E210" s="516">
        <v>0</v>
      </c>
      <c r="F210" s="518"/>
      <c r="G210" s="516">
        <v>0</v>
      </c>
      <c r="H210" s="518"/>
      <c r="I210" s="516">
        <v>0</v>
      </c>
      <c r="J210" s="518"/>
      <c r="K210" s="337"/>
      <c r="L210" s="516">
        <v>0</v>
      </c>
    </row>
    <row r="211" spans="2:14" x14ac:dyDescent="0.2">
      <c r="B211" s="25" t="s">
        <v>498</v>
      </c>
      <c r="C211" s="516">
        <v>0</v>
      </c>
      <c r="D211" s="518"/>
      <c r="E211" s="516">
        <v>0</v>
      </c>
      <c r="F211" s="518"/>
      <c r="G211" s="516">
        <v>0</v>
      </c>
      <c r="H211" s="518"/>
      <c r="I211" s="516">
        <v>0</v>
      </c>
      <c r="J211" s="518"/>
      <c r="K211" s="337"/>
      <c r="L211" s="516">
        <v>0</v>
      </c>
    </row>
    <row r="212" spans="2:14" x14ac:dyDescent="0.2">
      <c r="B212" s="25" t="s">
        <v>496</v>
      </c>
      <c r="C212" s="516">
        <v>0</v>
      </c>
      <c r="D212" s="518"/>
      <c r="E212" s="516">
        <v>0</v>
      </c>
      <c r="F212" s="518"/>
      <c r="G212" s="516">
        <v>0</v>
      </c>
      <c r="H212" s="518"/>
      <c r="I212" s="516">
        <v>0</v>
      </c>
      <c r="J212" s="518"/>
      <c r="K212" s="337"/>
      <c r="L212" s="516">
        <v>0</v>
      </c>
    </row>
    <row r="213" spans="2:14" x14ac:dyDescent="0.2">
      <c r="B213" s="25" t="s">
        <v>625</v>
      </c>
      <c r="C213" s="516">
        <v>0</v>
      </c>
      <c r="D213" s="518"/>
      <c r="E213" s="516">
        <v>0</v>
      </c>
      <c r="F213" s="518"/>
      <c r="G213" s="516">
        <v>0</v>
      </c>
      <c r="H213" s="518"/>
      <c r="I213" s="516">
        <v>0</v>
      </c>
      <c r="J213" s="518"/>
      <c r="K213" s="337"/>
      <c r="L213" s="516">
        <v>0</v>
      </c>
    </row>
    <row r="214" spans="2:14" x14ac:dyDescent="0.2">
      <c r="C214" s="516"/>
      <c r="D214" s="518"/>
      <c r="E214" s="516"/>
      <c r="F214" s="518"/>
      <c r="G214" s="516"/>
      <c r="H214" s="518"/>
      <c r="I214" s="516"/>
      <c r="J214" s="518"/>
      <c r="K214" s="337"/>
      <c r="L214" s="516"/>
    </row>
    <row r="215" spans="2:14" x14ac:dyDescent="0.2">
      <c r="B215" s="502" t="s">
        <v>596</v>
      </c>
      <c r="C215" s="666" t="s">
        <v>595</v>
      </c>
      <c r="D215" s="518"/>
      <c r="E215" s="666" t="s">
        <v>595</v>
      </c>
      <c r="F215" s="518"/>
      <c r="G215" s="666" t="s">
        <v>595</v>
      </c>
      <c r="H215" s="518"/>
      <c r="I215" s="666" t="s">
        <v>595</v>
      </c>
      <c r="J215" s="518"/>
      <c r="K215" s="337"/>
      <c r="L215" s="516"/>
    </row>
    <row r="216" spans="2:14" ht="25.5" x14ac:dyDescent="0.2">
      <c r="B216" s="502"/>
      <c r="C216" s="666"/>
      <c r="D216" s="518"/>
      <c r="E216" s="666"/>
      <c r="F216" s="518"/>
      <c r="G216" s="666"/>
      <c r="H216" s="518"/>
      <c r="I216" s="666"/>
      <c r="J216" s="518"/>
      <c r="K216" s="337"/>
      <c r="L216" s="668" t="s">
        <v>571</v>
      </c>
      <c r="N216" s="668" t="s">
        <v>598</v>
      </c>
    </row>
    <row r="217" spans="2:14" x14ac:dyDescent="0.2">
      <c r="B217" s="665" t="s">
        <v>594</v>
      </c>
      <c r="C217" s="667">
        <v>0</v>
      </c>
      <c r="D217" s="629"/>
      <c r="E217" s="667">
        <v>0</v>
      </c>
      <c r="F217" s="629"/>
      <c r="G217" s="667">
        <v>0</v>
      </c>
      <c r="H217" s="629"/>
      <c r="I217" s="667">
        <v>0</v>
      </c>
      <c r="J217" s="629"/>
      <c r="K217" s="337"/>
      <c r="L217" s="667">
        <v>0</v>
      </c>
      <c r="N217" s="669">
        <v>0</v>
      </c>
    </row>
    <row r="218" spans="2:14" x14ac:dyDescent="0.2">
      <c r="B218" s="665" t="s">
        <v>594</v>
      </c>
      <c r="C218" s="667">
        <v>0</v>
      </c>
      <c r="D218" s="629"/>
      <c r="E218" s="667">
        <v>0</v>
      </c>
      <c r="F218" s="629"/>
      <c r="G218" s="667">
        <v>0</v>
      </c>
      <c r="H218" s="629"/>
      <c r="I218" s="667">
        <v>0</v>
      </c>
      <c r="J218" s="629"/>
      <c r="K218" s="337"/>
      <c r="L218" s="667">
        <v>0</v>
      </c>
      <c r="N218" s="669">
        <v>0</v>
      </c>
    </row>
    <row r="219" spans="2:14" x14ac:dyDescent="0.2">
      <c r="B219" s="665" t="s">
        <v>594</v>
      </c>
      <c r="C219" s="667">
        <v>0</v>
      </c>
      <c r="D219" s="629"/>
      <c r="E219" s="667">
        <v>0</v>
      </c>
      <c r="F219" s="629"/>
      <c r="G219" s="667">
        <v>0</v>
      </c>
      <c r="H219" s="629"/>
      <c r="I219" s="667">
        <v>0</v>
      </c>
      <c r="J219" s="629"/>
      <c r="K219" s="337"/>
      <c r="L219" s="667">
        <v>0</v>
      </c>
      <c r="N219" s="669">
        <v>0</v>
      </c>
    </row>
    <row r="220" spans="2:14" x14ac:dyDescent="0.2">
      <c r="B220" s="665" t="s">
        <v>594</v>
      </c>
      <c r="C220" s="667">
        <v>0</v>
      </c>
      <c r="D220" s="629"/>
      <c r="E220" s="667">
        <v>0</v>
      </c>
      <c r="F220" s="629"/>
      <c r="G220" s="667">
        <v>0</v>
      </c>
      <c r="H220" s="629"/>
      <c r="I220" s="667">
        <v>0</v>
      </c>
      <c r="J220" s="629"/>
      <c r="K220" s="337"/>
      <c r="L220" s="667">
        <v>0</v>
      </c>
      <c r="N220" s="669">
        <v>0</v>
      </c>
    </row>
    <row r="221" spans="2:14" x14ac:dyDescent="0.2">
      <c r="B221" s="665" t="s">
        <v>594</v>
      </c>
      <c r="C221" s="667">
        <v>0</v>
      </c>
      <c r="D221" s="629"/>
      <c r="E221" s="667">
        <v>0</v>
      </c>
      <c r="F221" s="629"/>
      <c r="G221" s="667">
        <v>0</v>
      </c>
      <c r="H221" s="629"/>
      <c r="I221" s="667">
        <v>0</v>
      </c>
      <c r="J221" s="629"/>
      <c r="K221" s="337"/>
      <c r="L221" s="667">
        <v>0</v>
      </c>
      <c r="N221" s="669">
        <v>0</v>
      </c>
    </row>
    <row r="222" spans="2:14" x14ac:dyDescent="0.2">
      <c r="B222" s="665" t="s">
        <v>594</v>
      </c>
      <c r="C222" s="667">
        <v>0</v>
      </c>
      <c r="D222" s="629"/>
      <c r="E222" s="667">
        <v>0</v>
      </c>
      <c r="F222" s="629"/>
      <c r="G222" s="667">
        <v>0</v>
      </c>
      <c r="H222" s="629"/>
      <c r="I222" s="667">
        <v>0</v>
      </c>
      <c r="J222" s="629"/>
      <c r="K222" s="337"/>
      <c r="L222" s="667">
        <v>0</v>
      </c>
      <c r="N222" s="669">
        <v>0</v>
      </c>
    </row>
    <row r="223" spans="2:14" x14ac:dyDescent="0.2">
      <c r="C223" s="516"/>
      <c r="D223" s="518"/>
      <c r="E223" s="516"/>
      <c r="F223" s="518"/>
      <c r="G223" s="516"/>
      <c r="H223" s="518"/>
      <c r="I223" s="516"/>
      <c r="J223" s="518"/>
      <c r="K223" s="337"/>
    </row>
    <row r="224" spans="2:14" x14ac:dyDescent="0.2">
      <c r="C224" s="516"/>
      <c r="D224" s="518"/>
      <c r="E224" s="516"/>
      <c r="F224" s="518"/>
      <c r="G224" s="516"/>
      <c r="H224" s="518"/>
      <c r="I224" s="516"/>
      <c r="J224" s="518"/>
      <c r="K224" s="337"/>
      <c r="L224" s="516"/>
    </row>
    <row r="226" spans="2:18" x14ac:dyDescent="0.2">
      <c r="B226" s="502" t="s">
        <v>500</v>
      </c>
    </row>
    <row r="227" spans="2:18" x14ac:dyDescent="0.2">
      <c r="L227" s="515" t="s">
        <v>477</v>
      </c>
      <c r="M227" s="515"/>
      <c r="N227" s="515" t="s">
        <v>478</v>
      </c>
      <c r="O227" s="515"/>
      <c r="P227" s="515" t="s">
        <v>479</v>
      </c>
      <c r="Q227" s="514"/>
      <c r="R227" s="514" t="s">
        <v>480</v>
      </c>
    </row>
    <row r="228" spans="2:18" x14ac:dyDescent="0.2">
      <c r="B228" s="519" t="s">
        <v>482</v>
      </c>
      <c r="L228" s="516">
        <v>0</v>
      </c>
      <c r="M228" s="517"/>
      <c r="N228" s="516">
        <v>0</v>
      </c>
      <c r="O228" s="517"/>
      <c r="P228" s="516">
        <v>0</v>
      </c>
      <c r="Q228" s="418"/>
      <c r="R228" s="516">
        <v>0</v>
      </c>
    </row>
    <row r="229" spans="2:18" x14ac:dyDescent="0.2">
      <c r="B229" s="519" t="s">
        <v>485</v>
      </c>
      <c r="L229" s="516">
        <v>0</v>
      </c>
      <c r="M229" s="517"/>
      <c r="N229" s="516">
        <v>0</v>
      </c>
      <c r="O229" s="517"/>
      <c r="P229" s="516">
        <v>0</v>
      </c>
      <c r="Q229" s="418"/>
      <c r="R229" s="516">
        <v>0</v>
      </c>
    </row>
    <row r="230" spans="2:18" x14ac:dyDescent="0.2">
      <c r="B230" s="519" t="s">
        <v>483</v>
      </c>
      <c r="L230" s="516">
        <v>0</v>
      </c>
      <c r="M230" s="517"/>
      <c r="N230" s="516">
        <v>0</v>
      </c>
      <c r="O230" s="517"/>
      <c r="P230" s="516">
        <v>0</v>
      </c>
      <c r="Q230" s="418"/>
      <c r="R230" s="516">
        <v>0</v>
      </c>
    </row>
    <row r="231" spans="2:18" x14ac:dyDescent="0.2">
      <c r="B231" s="519" t="s">
        <v>484</v>
      </c>
      <c r="L231" s="516">
        <v>0</v>
      </c>
      <c r="M231" s="517"/>
      <c r="N231" s="516">
        <v>0</v>
      </c>
      <c r="O231" s="517"/>
      <c r="P231" s="516">
        <v>0</v>
      </c>
      <c r="Q231" s="418"/>
      <c r="R231" s="516">
        <v>0</v>
      </c>
    </row>
  </sheetData>
  <phoneticPr fontId="3" type="noConversion"/>
  <pageMargins left="0.75" right="0.75" top="1" bottom="1" header="0.5" footer="0.5"/>
  <pageSetup scale="63" orientation="portrait" r:id="rId1"/>
  <headerFooter alignWithMargins="0"/>
  <rowBreaks count="1" manualBreakCount="1">
    <brk id="65"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B13"/>
  <sheetViews>
    <sheetView zoomScale="120" workbookViewId="0">
      <selection activeCell="B32" sqref="B32"/>
    </sheetView>
  </sheetViews>
  <sheetFormatPr defaultRowHeight="12.75" x14ac:dyDescent="0.2"/>
  <cols>
    <col min="1" max="1" width="37.33203125" customWidth="1"/>
    <col min="2" max="2" width="105.5" style="5" customWidth="1"/>
  </cols>
  <sheetData>
    <row r="1" spans="1:2" x14ac:dyDescent="0.2">
      <c r="A1" s="1" t="s">
        <v>95</v>
      </c>
    </row>
    <row r="3" spans="1:2" x14ac:dyDescent="0.2">
      <c r="A3" t="s">
        <v>75</v>
      </c>
      <c r="B3" s="5" t="s">
        <v>76</v>
      </c>
    </row>
    <row r="4" spans="1:2" x14ac:dyDescent="0.2">
      <c r="A4" t="s">
        <v>87</v>
      </c>
      <c r="B4" s="5" t="s">
        <v>88</v>
      </c>
    </row>
    <row r="5" spans="1:2" x14ac:dyDescent="0.2">
      <c r="A5" t="s">
        <v>70</v>
      </c>
      <c r="B5" s="5" t="s">
        <v>71</v>
      </c>
    </row>
    <row r="6" spans="1:2" x14ac:dyDescent="0.2">
      <c r="A6" t="s">
        <v>72</v>
      </c>
      <c r="B6" s="5" t="s">
        <v>113</v>
      </c>
    </row>
    <row r="7" spans="1:2" x14ac:dyDescent="0.2">
      <c r="A7" t="s">
        <v>73</v>
      </c>
      <c r="B7" s="5" t="s">
        <v>74</v>
      </c>
    </row>
    <row r="9" spans="1:2" x14ac:dyDescent="0.2">
      <c r="A9" t="s">
        <v>78</v>
      </c>
    </row>
    <row r="10" spans="1:2" ht="25.5" x14ac:dyDescent="0.2">
      <c r="A10" t="s">
        <v>91</v>
      </c>
      <c r="B10" s="5" t="s">
        <v>92</v>
      </c>
    </row>
    <row r="11" spans="1:2" x14ac:dyDescent="0.2">
      <c r="A11" t="s">
        <v>93</v>
      </c>
      <c r="B11" s="5" t="s">
        <v>94</v>
      </c>
    </row>
    <row r="12" spans="1:2" x14ac:dyDescent="0.2">
      <c r="A12" t="s">
        <v>109</v>
      </c>
      <c r="B12" s="5" t="s">
        <v>110</v>
      </c>
    </row>
    <row r="13" spans="1:2" x14ac:dyDescent="0.2">
      <c r="A13" t="s">
        <v>111</v>
      </c>
      <c r="B13" s="5" t="s">
        <v>112</v>
      </c>
    </row>
  </sheetData>
  <phoneticPr fontId="3"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3"/>
    <pageSetUpPr fitToPage="1"/>
  </sheetPr>
  <dimension ref="A1:M101"/>
  <sheetViews>
    <sheetView topLeftCell="A14" zoomScale="75" zoomScaleNormal="75" workbookViewId="0">
      <selection activeCell="B69" sqref="B69:L69"/>
    </sheetView>
  </sheetViews>
  <sheetFormatPr defaultRowHeight="12.75" x14ac:dyDescent="0.2"/>
  <cols>
    <col min="1" max="1" width="7" style="4" customWidth="1"/>
    <col min="2" max="2" width="60" style="7" customWidth="1"/>
    <col min="3" max="3" width="14.83203125" style="7" customWidth="1"/>
    <col min="4" max="4" width="1.83203125" style="13" hidden="1" customWidth="1"/>
    <col min="5" max="5" width="15" style="7" customWidth="1"/>
    <col min="6" max="6" width="7.5" style="13" customWidth="1"/>
    <col min="7" max="7" width="15.33203125" style="7" customWidth="1"/>
    <col min="8" max="8" width="7.33203125" style="13" customWidth="1"/>
    <col min="9" max="9" width="14.83203125" style="7" customWidth="1"/>
    <col min="10" max="10" width="6.83203125" style="13" customWidth="1"/>
    <col min="11" max="11" width="15" style="7" customWidth="1"/>
    <col min="12" max="12" width="6.83203125" style="13" customWidth="1"/>
    <col min="13" max="16384" width="9.33203125" style="4"/>
  </cols>
  <sheetData>
    <row r="1" spans="1:12" x14ac:dyDescent="0.2">
      <c r="B1" s="6"/>
      <c r="C1" s="3"/>
      <c r="D1" s="12"/>
      <c r="E1" s="3"/>
      <c r="F1" s="12"/>
      <c r="G1" s="3"/>
      <c r="H1" s="12"/>
      <c r="I1" s="3"/>
      <c r="J1" s="12"/>
      <c r="K1" s="3"/>
      <c r="L1" s="12"/>
    </row>
    <row r="2" spans="1:12" ht="18" x14ac:dyDescent="0.25">
      <c r="A2" s="29" t="str">
        <f>INPUT!B2</f>
        <v>SAMPLE</v>
      </c>
      <c r="C2" s="3"/>
      <c r="D2" s="12"/>
      <c r="E2" s="3"/>
      <c r="F2" s="12"/>
      <c r="G2" s="3"/>
      <c r="H2" s="12"/>
      <c r="I2" s="3"/>
      <c r="J2" s="12"/>
      <c r="K2" s="3"/>
      <c r="L2" s="12"/>
    </row>
    <row r="3" spans="1:12" ht="28.5" customHeight="1" x14ac:dyDescent="0.25">
      <c r="A3" s="29"/>
      <c r="C3" s="2" t="str">
        <f>INPUT!C4</f>
        <v>AUDIT</v>
      </c>
      <c r="D3" s="12"/>
      <c r="E3" s="2" t="str">
        <f>INPUT!E4</f>
        <v>AUDIT</v>
      </c>
      <c r="F3" s="369"/>
      <c r="G3" s="2" t="str">
        <f>INPUT!G4</f>
        <v>AUDIT</v>
      </c>
      <c r="H3" s="369"/>
      <c r="I3" s="461" t="str">
        <f>INPUT!I4</f>
        <v>INTERIM</v>
      </c>
      <c r="J3" s="369"/>
      <c r="K3" s="2" t="e">
        <f>INPUT!#REF!</f>
        <v>#REF!</v>
      </c>
      <c r="L3" s="369"/>
    </row>
    <row r="4" spans="1:12" s="47" customFormat="1" x14ac:dyDescent="0.2">
      <c r="A4" s="45" t="s">
        <v>85</v>
      </c>
      <c r="B4" s="46"/>
      <c r="C4" s="48">
        <f>INPUT!C5</f>
        <v>40908</v>
      </c>
      <c r="D4" s="48"/>
      <c r="E4" s="48">
        <f>INPUT!E5</f>
        <v>41274</v>
      </c>
      <c r="F4" s="448" t="s">
        <v>0</v>
      </c>
      <c r="G4" s="48">
        <f>INPUT!G5</f>
        <v>41639</v>
      </c>
      <c r="H4" s="448" t="s">
        <v>0</v>
      </c>
      <c r="I4" s="48">
        <f>INPUT!I5</f>
        <v>42004</v>
      </c>
      <c r="J4" s="448" t="s">
        <v>0</v>
      </c>
      <c r="K4" s="48" t="e">
        <f>INPUT!#REF!</f>
        <v>#REF!</v>
      </c>
      <c r="L4" s="448" t="s">
        <v>0</v>
      </c>
    </row>
    <row r="5" spans="1:12" x14ac:dyDescent="0.2">
      <c r="C5" s="2"/>
      <c r="D5" s="40"/>
      <c r="E5" s="2"/>
      <c r="F5" s="449"/>
      <c r="G5" s="2"/>
      <c r="H5" s="449"/>
      <c r="I5" s="2"/>
      <c r="J5" s="449"/>
      <c r="K5" s="2"/>
      <c r="L5" s="449"/>
    </row>
    <row r="6" spans="1:12" x14ac:dyDescent="0.2">
      <c r="B6" s="9" t="s">
        <v>1</v>
      </c>
      <c r="C6" s="6"/>
      <c r="E6" s="6"/>
      <c r="F6" s="450"/>
      <c r="G6" s="6"/>
      <c r="H6" s="450"/>
      <c r="I6" s="6"/>
      <c r="J6" s="450"/>
      <c r="K6" s="6"/>
      <c r="L6" s="450"/>
    </row>
    <row r="7" spans="1:12" x14ac:dyDescent="0.2">
      <c r="B7" s="10" t="s">
        <v>389</v>
      </c>
      <c r="C7" s="432">
        <f>INPUT!C8</f>
        <v>275000</v>
      </c>
      <c r="D7" s="432"/>
      <c r="E7" s="432">
        <f>INPUT!E8</f>
        <v>325000</v>
      </c>
      <c r="F7" s="451"/>
      <c r="G7" s="432">
        <f>INPUT!G8</f>
        <v>650000</v>
      </c>
      <c r="H7" s="451"/>
      <c r="I7" s="432">
        <f>INPUT!I8+INPUT!I10</f>
        <v>375000</v>
      </c>
      <c r="J7" s="451"/>
      <c r="K7" s="432" t="e">
        <f>INPUT!#REF!+INPUT!#REF!</f>
        <v>#REF!</v>
      </c>
      <c r="L7" s="451"/>
    </row>
    <row r="8" spans="1:12" x14ac:dyDescent="0.2">
      <c r="B8" s="10" t="s">
        <v>390</v>
      </c>
      <c r="C8" s="19">
        <f>INPUT!C9</f>
        <v>1000000</v>
      </c>
      <c r="D8" s="19"/>
      <c r="E8" s="19">
        <f>INPUT!E9</f>
        <v>1500000</v>
      </c>
      <c r="F8" s="452"/>
      <c r="G8" s="19">
        <f>INPUT!G9</f>
        <v>1350000</v>
      </c>
      <c r="H8" s="452"/>
      <c r="I8" s="19">
        <f>INPUT!I9</f>
        <v>2750000</v>
      </c>
      <c r="J8" s="452"/>
      <c r="K8" s="19" t="e">
        <f>INPUT!#REF!</f>
        <v>#REF!</v>
      </c>
      <c r="L8" s="452"/>
    </row>
    <row r="9" spans="1:12" x14ac:dyDescent="0.2">
      <c r="B9" s="10" t="s">
        <v>320</v>
      </c>
      <c r="C9" s="19">
        <f>INPUT!C11</f>
        <v>0</v>
      </c>
      <c r="D9" s="19"/>
      <c r="E9" s="19">
        <f>INPUT!E11</f>
        <v>0</v>
      </c>
      <c r="F9" s="452"/>
      <c r="G9" s="19">
        <f>INPUT!G11</f>
        <v>2000</v>
      </c>
      <c r="H9" s="452"/>
      <c r="I9" s="19">
        <f>INPUT!I11</f>
        <v>750</v>
      </c>
      <c r="J9" s="452"/>
      <c r="K9" s="19" t="e">
        <f>INPUT!#REF!</f>
        <v>#REF!</v>
      </c>
      <c r="L9" s="452"/>
    </row>
    <row r="10" spans="1:12" x14ac:dyDescent="0.2">
      <c r="B10" s="10" t="s">
        <v>384</v>
      </c>
      <c r="C10" s="19">
        <f>INPUT!C13</f>
        <v>0</v>
      </c>
      <c r="D10" s="19"/>
      <c r="E10" s="19">
        <f>INPUT!E13</f>
        <v>0</v>
      </c>
      <c r="F10" s="452"/>
      <c r="G10" s="19">
        <f>INPUT!G13</f>
        <v>0</v>
      </c>
      <c r="H10" s="452"/>
      <c r="I10" s="19">
        <f>INPUT!I13</f>
        <v>110000</v>
      </c>
      <c r="J10" s="452"/>
      <c r="K10" s="19" t="e">
        <f>INPUT!#REF!</f>
        <v>#REF!</v>
      </c>
      <c r="L10" s="452"/>
    </row>
    <row r="11" spans="1:12" x14ac:dyDescent="0.2">
      <c r="B11" s="10" t="s">
        <v>293</v>
      </c>
      <c r="C11" s="19">
        <f>INPUT!C12</f>
        <v>125000</v>
      </c>
      <c r="D11" s="19"/>
      <c r="E11" s="19">
        <f>INPUT!E12</f>
        <v>150000</v>
      </c>
      <c r="F11" s="452"/>
      <c r="G11" s="19">
        <f>INPUT!G12</f>
        <v>150000</v>
      </c>
      <c r="H11" s="452"/>
      <c r="I11" s="19">
        <f>INPUT!I12</f>
        <v>75000</v>
      </c>
      <c r="J11" s="452"/>
      <c r="K11" s="19" t="e">
        <f>INPUT!#REF!</f>
        <v>#REF!</v>
      </c>
      <c r="L11" s="452"/>
    </row>
    <row r="12" spans="1:12" x14ac:dyDescent="0.2">
      <c r="B12" s="10" t="s">
        <v>305</v>
      </c>
      <c r="C12" s="19">
        <f>INPUT!C16</f>
        <v>45000</v>
      </c>
      <c r="D12" s="19"/>
      <c r="E12" s="19">
        <f>INPUT!E16</f>
        <v>55000</v>
      </c>
      <c r="F12" s="452"/>
      <c r="G12" s="19">
        <f>INPUT!G16</f>
        <v>65000</v>
      </c>
      <c r="H12" s="452"/>
      <c r="I12" s="19">
        <f>INPUT!I16</f>
        <v>100000</v>
      </c>
      <c r="J12" s="452"/>
      <c r="K12" s="19" t="e">
        <f>INPUT!#REF!</f>
        <v>#REF!</v>
      </c>
      <c r="L12" s="452"/>
    </row>
    <row r="13" spans="1:12" ht="13.5" x14ac:dyDescent="0.25">
      <c r="B13" s="10" t="s">
        <v>308</v>
      </c>
      <c r="C13" s="19">
        <f>INPUT!C14</f>
        <v>1050000</v>
      </c>
      <c r="D13" s="19"/>
      <c r="E13" s="19">
        <f>INPUT!E14</f>
        <v>1400000</v>
      </c>
      <c r="F13" s="452"/>
      <c r="G13" s="19">
        <f>INPUT!G14</f>
        <v>1750000</v>
      </c>
      <c r="H13" s="452"/>
      <c r="I13" s="19">
        <f>INPUT!I14</f>
        <v>2125000</v>
      </c>
      <c r="J13" s="452"/>
      <c r="K13" s="19" t="e">
        <f>INPUT!#REF!</f>
        <v>#REF!</v>
      </c>
      <c r="L13" s="452"/>
    </row>
    <row r="14" spans="1:12" ht="15" x14ac:dyDescent="0.35">
      <c r="B14" s="10" t="s">
        <v>23</v>
      </c>
      <c r="C14" s="20">
        <f>INPUT!C15</f>
        <v>-350000</v>
      </c>
      <c r="D14" s="19"/>
      <c r="E14" s="20">
        <f>INPUT!E15</f>
        <v>-450000</v>
      </c>
      <c r="F14" s="452"/>
      <c r="G14" s="20">
        <f>INPUT!G15</f>
        <v>-575000</v>
      </c>
      <c r="H14" s="452"/>
      <c r="I14" s="20">
        <f>INPUT!I15</f>
        <v>-600000</v>
      </c>
      <c r="J14" s="452"/>
      <c r="K14" s="20" t="e">
        <f>INPUT!#REF!</f>
        <v>#REF!</v>
      </c>
      <c r="L14" s="452"/>
    </row>
    <row r="15" spans="1:12" x14ac:dyDescent="0.2">
      <c r="B15" s="10" t="s">
        <v>306</v>
      </c>
      <c r="C15" s="19">
        <f>SUM(C13:C14)</f>
        <v>700000</v>
      </c>
      <c r="D15" s="19"/>
      <c r="E15" s="19">
        <f>SUM(E13:E14)</f>
        <v>950000</v>
      </c>
      <c r="F15" s="452"/>
      <c r="G15" s="19">
        <f>SUM(G13:G14)</f>
        <v>1175000</v>
      </c>
      <c r="H15" s="452"/>
      <c r="I15" s="19">
        <f>SUM(I13:I14)</f>
        <v>1525000</v>
      </c>
      <c r="J15" s="452"/>
      <c r="K15" s="19" t="e">
        <f>SUM(K13:K14)</f>
        <v>#REF!</v>
      </c>
      <c r="L15" s="452"/>
    </row>
    <row r="16" spans="1:12" hidden="1" x14ac:dyDescent="0.2">
      <c r="B16" s="10" t="s">
        <v>22</v>
      </c>
      <c r="C16" s="19"/>
      <c r="D16" s="19"/>
      <c r="E16" s="19"/>
      <c r="F16" s="452"/>
      <c r="G16" s="19"/>
      <c r="H16" s="452"/>
      <c r="I16" s="19"/>
      <c r="J16" s="452"/>
      <c r="K16" s="19"/>
      <c r="L16" s="452"/>
    </row>
    <row r="17" spans="2:12" ht="15" x14ac:dyDescent="0.35">
      <c r="B17" s="10" t="s">
        <v>323</v>
      </c>
      <c r="C17" s="20">
        <f>INPUT!C17</f>
        <v>1000</v>
      </c>
      <c r="D17" s="20"/>
      <c r="E17" s="20">
        <f>INPUT!E17</f>
        <v>2000</v>
      </c>
      <c r="F17" s="453"/>
      <c r="G17" s="20">
        <f>INPUT!G17</f>
        <v>3000</v>
      </c>
      <c r="H17" s="453"/>
      <c r="I17" s="20">
        <f>INPUT!I17</f>
        <v>4000</v>
      </c>
      <c r="J17" s="453"/>
      <c r="K17" s="20" t="e">
        <f>INPUT!#REF!</f>
        <v>#REF!</v>
      </c>
      <c r="L17" s="453"/>
    </row>
    <row r="18" spans="2:12" x14ac:dyDescent="0.2">
      <c r="B18" s="9" t="s">
        <v>3</v>
      </c>
      <c r="C18" s="19">
        <f>SUM(C7:C12)+SUM(C15:C17)</f>
        <v>2146000</v>
      </c>
      <c r="D18" s="272"/>
      <c r="E18" s="19">
        <f>SUM(E7:E12)+SUM(E15:E17)</f>
        <v>2982000</v>
      </c>
      <c r="F18" s="454">
        <f>(E18-C18)/ABS(C18)</f>
        <v>0.3895619757688723</v>
      </c>
      <c r="G18" s="19">
        <f>SUM(G7:G12)+SUM(G15:G17)</f>
        <v>3395000</v>
      </c>
      <c r="H18" s="454">
        <f>(G18-E18)/ABS(E18)</f>
        <v>0.13849765258215962</v>
      </c>
      <c r="I18" s="19">
        <f>SUM(I7:I12)+SUM(I15:I17)</f>
        <v>4939750</v>
      </c>
      <c r="J18" s="454" t="e">
        <f>(I18-#REF!)/ABS(#REF!)</f>
        <v>#REF!</v>
      </c>
      <c r="K18" s="19" t="e">
        <f>SUM(K7:K12)+SUM(K15:K17)</f>
        <v>#REF!</v>
      </c>
      <c r="L18" s="454" t="e">
        <f>(K18-I18)/ABS(I18)</f>
        <v>#REF!</v>
      </c>
    </row>
    <row r="19" spans="2:12" x14ac:dyDescent="0.2">
      <c r="B19" s="10"/>
      <c r="C19" s="8"/>
      <c r="D19" s="15"/>
      <c r="E19" s="8"/>
      <c r="F19" s="455"/>
      <c r="G19" s="8"/>
      <c r="H19" s="455"/>
      <c r="I19" s="8"/>
      <c r="J19" s="455"/>
      <c r="K19" s="8"/>
      <c r="L19" s="455"/>
    </row>
    <row r="20" spans="2:12" x14ac:dyDescent="0.2">
      <c r="B20" s="9" t="s">
        <v>636</v>
      </c>
      <c r="D20" s="15"/>
      <c r="F20" s="455"/>
      <c r="G20" s="768"/>
      <c r="H20" s="455"/>
      <c r="J20" s="455"/>
      <c r="L20" s="455"/>
    </row>
    <row r="21" spans="2:12" x14ac:dyDescent="0.2">
      <c r="B21" s="10" t="s">
        <v>375</v>
      </c>
      <c r="C21" s="19">
        <f>INPUT!C24</f>
        <v>0</v>
      </c>
      <c r="E21" s="19">
        <f>INPUT!E24</f>
        <v>0</v>
      </c>
      <c r="F21" s="450"/>
      <c r="G21" s="19">
        <f>INPUT!G24</f>
        <v>0</v>
      </c>
      <c r="H21" s="450"/>
      <c r="I21" s="19">
        <f>INPUT!I24</f>
        <v>0</v>
      </c>
      <c r="J21" s="450"/>
      <c r="K21" s="19" t="e">
        <f>INPUT!#REF!</f>
        <v>#REF!</v>
      </c>
      <c r="L21" s="450"/>
    </row>
    <row r="22" spans="2:12" x14ac:dyDescent="0.2">
      <c r="B22" s="10" t="s">
        <v>563</v>
      </c>
      <c r="C22" s="19">
        <f>INPUT!C21</f>
        <v>2500000</v>
      </c>
      <c r="D22" s="19"/>
      <c r="E22" s="19">
        <f>INPUT!E21</f>
        <v>2650000</v>
      </c>
      <c r="F22" s="452"/>
      <c r="G22" s="19">
        <f>INPUT!G21</f>
        <v>3125000</v>
      </c>
      <c r="H22" s="452"/>
      <c r="I22" s="19">
        <f>INPUT!I21</f>
        <v>2900000</v>
      </c>
      <c r="J22" s="452"/>
      <c r="K22" s="19" t="e">
        <f>INPUT!#REF!</f>
        <v>#REF!</v>
      </c>
      <c r="L22" s="452"/>
    </row>
    <row r="23" spans="2:12" ht="15" x14ac:dyDescent="0.35">
      <c r="B23" s="10" t="s">
        <v>23</v>
      </c>
      <c r="C23" s="20">
        <f>INPUT!C22</f>
        <v>0</v>
      </c>
      <c r="D23" s="20"/>
      <c r="E23" s="20">
        <f>INPUT!E22</f>
        <v>0</v>
      </c>
      <c r="F23" s="453"/>
      <c r="G23" s="20">
        <f>INPUT!G22</f>
        <v>0</v>
      </c>
      <c r="H23" s="453"/>
      <c r="I23" s="20">
        <f>INPUT!I22</f>
        <v>0</v>
      </c>
      <c r="J23" s="453"/>
      <c r="K23" s="20" t="e">
        <f>INPUT!#REF!</f>
        <v>#REF!</v>
      </c>
      <c r="L23" s="453"/>
    </row>
    <row r="24" spans="2:12" x14ac:dyDescent="0.2">
      <c r="B24" s="10" t="s">
        <v>306</v>
      </c>
      <c r="C24" s="19">
        <f>C22+C23</f>
        <v>2500000</v>
      </c>
      <c r="E24" s="19">
        <f>E22+E23</f>
        <v>2650000</v>
      </c>
      <c r="F24" s="454">
        <f>(E24-C24)/ABS(C24)</f>
        <v>0.06</v>
      </c>
      <c r="G24" s="19">
        <f>G22+G23</f>
        <v>3125000</v>
      </c>
      <c r="H24" s="454">
        <f>(G24-E24)/ABS(E24)</f>
        <v>0.17924528301886791</v>
      </c>
      <c r="I24" s="19">
        <f>I22+I23</f>
        <v>2900000</v>
      </c>
      <c r="J24" s="454" t="e">
        <f>(I24-#REF!)/ABS(#REF!)</f>
        <v>#REF!</v>
      </c>
      <c r="K24" s="19" t="e">
        <f>K22+K23</f>
        <v>#REF!</v>
      </c>
      <c r="L24" s="454" t="e">
        <f>(K24-I24)/ABS(I24)</f>
        <v>#REF!</v>
      </c>
    </row>
    <row r="25" spans="2:12" x14ac:dyDescent="0.2">
      <c r="B25" s="10" t="s">
        <v>294</v>
      </c>
      <c r="C25" s="19">
        <f>INPUT!C23</f>
        <v>0</v>
      </c>
      <c r="D25" s="15"/>
      <c r="E25" s="19">
        <f>INPUT!E23</f>
        <v>0</v>
      </c>
      <c r="F25" s="455"/>
      <c r="G25" s="19">
        <f>INPUT!G23</f>
        <v>0</v>
      </c>
      <c r="H25" s="455"/>
      <c r="I25" s="19">
        <f>INPUT!I23</f>
        <v>0</v>
      </c>
      <c r="J25" s="455"/>
      <c r="K25" s="19" t="e">
        <f>INPUT!#REF!</f>
        <v>#REF!</v>
      </c>
      <c r="L25" s="455"/>
    </row>
    <row r="26" spans="2:12" x14ac:dyDescent="0.2">
      <c r="B26" s="10" t="s">
        <v>278</v>
      </c>
      <c r="C26" s="19">
        <f>INPUT!C26</f>
        <v>0</v>
      </c>
      <c r="D26" s="15"/>
      <c r="E26" s="19">
        <f>INPUT!E26</f>
        <v>0</v>
      </c>
      <c r="F26" s="455"/>
      <c r="G26" s="19">
        <f>INPUT!G26</f>
        <v>0</v>
      </c>
      <c r="H26" s="455"/>
      <c r="I26" s="19">
        <f>INPUT!I26</f>
        <v>0</v>
      </c>
      <c r="J26" s="455"/>
      <c r="K26" s="19" t="e">
        <f>INPUT!#REF!</f>
        <v>#REF!</v>
      </c>
      <c r="L26" s="455"/>
    </row>
    <row r="27" spans="2:12" x14ac:dyDescent="0.2">
      <c r="B27" s="10" t="str">
        <f>+INPUT!B27</f>
        <v>Other Real Estate Owned</v>
      </c>
      <c r="C27" s="19">
        <f>INPUT!C27</f>
        <v>0</v>
      </c>
      <c r="D27" s="15"/>
      <c r="E27" s="19">
        <f>INPUT!E27</f>
        <v>0</v>
      </c>
      <c r="F27" s="455"/>
      <c r="G27" s="19">
        <f>INPUT!G27</f>
        <v>0</v>
      </c>
      <c r="H27" s="455"/>
      <c r="I27" s="19">
        <f>INPUT!I27</f>
        <v>0</v>
      </c>
      <c r="J27" s="455"/>
      <c r="K27" s="19" t="e">
        <f>INPUT!#REF!</f>
        <v>#REF!</v>
      </c>
      <c r="L27" s="455"/>
    </row>
    <row r="28" spans="2:12" x14ac:dyDescent="0.2">
      <c r="B28" s="10" t="s">
        <v>307</v>
      </c>
      <c r="C28" s="19">
        <f>INPUT!C28</f>
        <v>150000</v>
      </c>
      <c r="D28" s="15"/>
      <c r="E28" s="19">
        <f>INPUT!E28</f>
        <v>145000</v>
      </c>
      <c r="F28" s="455"/>
      <c r="G28" s="19">
        <f>INPUT!G28</f>
        <v>136000</v>
      </c>
      <c r="H28" s="455"/>
      <c r="I28" s="19">
        <f>INPUT!I28</f>
        <v>225000</v>
      </c>
      <c r="J28" s="455"/>
      <c r="K28" s="19" t="e">
        <f>INPUT!#REF!</f>
        <v>#REF!</v>
      </c>
      <c r="L28" s="455"/>
    </row>
    <row r="29" spans="2:12" ht="15" x14ac:dyDescent="0.35">
      <c r="B29" s="10" t="s">
        <v>2</v>
      </c>
      <c r="C29" s="20">
        <f>INPUT!C25</f>
        <v>0</v>
      </c>
      <c r="D29" s="15"/>
      <c r="E29" s="20">
        <f>INPUT!E25</f>
        <v>0</v>
      </c>
      <c r="F29" s="455"/>
      <c r="G29" s="20">
        <f>INPUT!G25</f>
        <v>0</v>
      </c>
      <c r="H29" s="455"/>
      <c r="I29" s="20">
        <f>INPUT!I25</f>
        <v>0</v>
      </c>
      <c r="J29" s="455"/>
      <c r="K29" s="20" t="e">
        <f>INPUT!#REF!</f>
        <v>#REF!</v>
      </c>
      <c r="L29" s="455"/>
    </row>
    <row r="30" spans="2:12" x14ac:dyDescent="0.2">
      <c r="B30" s="9" t="s">
        <v>4</v>
      </c>
      <c r="C30" s="19">
        <f>C21+C24+C28</f>
        <v>2650000</v>
      </c>
      <c r="D30" s="15"/>
      <c r="E30" s="19">
        <f>E21+E24+E28</f>
        <v>2795000</v>
      </c>
      <c r="F30" s="454">
        <f>(E30-C30)/ABS(C30)</f>
        <v>5.4716981132075473E-2</v>
      </c>
      <c r="G30" s="19">
        <f>G21+G24+G28</f>
        <v>3261000</v>
      </c>
      <c r="H30" s="454">
        <f>(G30-E30)/ABS(E30)</f>
        <v>0.1667262969588551</v>
      </c>
      <c r="I30" s="19">
        <f>I21+I24+I28</f>
        <v>3125000</v>
      </c>
      <c r="J30" s="454" t="e">
        <f>(I30-#REF!)/ABS(#REF!)</f>
        <v>#REF!</v>
      </c>
      <c r="K30" s="19" t="e">
        <f>K21+K24+K28</f>
        <v>#REF!</v>
      </c>
      <c r="L30" s="454" t="e">
        <f>(K30-I30)/ABS(I30)</f>
        <v>#REF!</v>
      </c>
    </row>
    <row r="31" spans="2:12" x14ac:dyDescent="0.2">
      <c r="B31" s="10"/>
      <c r="C31" s="23"/>
      <c r="D31" s="15"/>
      <c r="E31" s="23"/>
      <c r="F31" s="456"/>
      <c r="G31" s="23"/>
      <c r="H31" s="456"/>
      <c r="I31" s="23"/>
      <c r="J31" s="456"/>
      <c r="K31" s="23"/>
      <c r="L31" s="456"/>
    </row>
    <row r="32" spans="2:12" ht="13.5" thickBot="1" x14ac:dyDescent="0.25">
      <c r="B32" s="9" t="s">
        <v>5</v>
      </c>
      <c r="C32" s="464">
        <f>C18+C30</f>
        <v>4796000</v>
      </c>
      <c r="D32" s="15"/>
      <c r="E32" s="464">
        <f>E18+E30</f>
        <v>5777000</v>
      </c>
      <c r="F32" s="454">
        <f>(E32-C32)/ABS(C32)</f>
        <v>0.20454545454545456</v>
      </c>
      <c r="G32" s="464">
        <f>G18+G30</f>
        <v>6656000</v>
      </c>
      <c r="H32" s="454">
        <f>(G32-E32)/ABS(E32)</f>
        <v>0.15215509780162714</v>
      </c>
      <c r="I32" s="464">
        <f>I18+I30</f>
        <v>8064750</v>
      </c>
      <c r="J32" s="454" t="e">
        <f>(I32-#REF!)/ABS(#REF!)</f>
        <v>#REF!</v>
      </c>
      <c r="K32" s="464" t="e">
        <f>K18+K30</f>
        <v>#REF!</v>
      </c>
      <c r="L32" s="454" t="e">
        <f>(K32-I32)/ABS(I32)</f>
        <v>#REF!</v>
      </c>
    </row>
    <row r="33" spans="2:12" ht="13.5" thickTop="1" x14ac:dyDescent="0.2">
      <c r="B33" s="10"/>
      <c r="D33" s="15"/>
      <c r="F33" s="455"/>
      <c r="G33" s="768"/>
      <c r="H33" s="455"/>
      <c r="J33" s="455"/>
      <c r="L33" s="455"/>
    </row>
    <row r="34" spans="2:12" x14ac:dyDescent="0.2">
      <c r="B34" s="9" t="s">
        <v>6</v>
      </c>
      <c r="F34" s="450"/>
      <c r="G34" s="768"/>
      <c r="H34" s="450"/>
      <c r="J34" s="450"/>
      <c r="L34" s="450"/>
    </row>
    <row r="35" spans="2:12" x14ac:dyDescent="0.2">
      <c r="B35" s="10"/>
      <c r="D35" s="16"/>
      <c r="F35" s="457"/>
      <c r="G35" s="768"/>
      <c r="H35" s="457"/>
      <c r="J35" s="457"/>
      <c r="L35" s="457"/>
    </row>
    <row r="36" spans="2:12" x14ac:dyDescent="0.2">
      <c r="B36" s="9" t="s">
        <v>25</v>
      </c>
      <c r="F36" s="450"/>
      <c r="G36" s="768"/>
      <c r="H36" s="450"/>
      <c r="J36" s="450"/>
      <c r="L36" s="450"/>
    </row>
    <row r="37" spans="2:12" x14ac:dyDescent="0.2">
      <c r="B37" s="10" t="s">
        <v>26</v>
      </c>
      <c r="C37" s="432">
        <f>INPUT!C33</f>
        <v>75000</v>
      </c>
      <c r="D37" s="268"/>
      <c r="E37" s="432">
        <f>INPUT!E33</f>
        <v>65000</v>
      </c>
      <c r="F37" s="458"/>
      <c r="G37" s="432">
        <f>INPUT!G33</f>
        <v>100000</v>
      </c>
      <c r="H37" s="458"/>
      <c r="I37" s="432">
        <f>INPUT!I33</f>
        <v>110000</v>
      </c>
      <c r="J37" s="458"/>
      <c r="K37" s="432" t="e">
        <f>INPUT!#REF!</f>
        <v>#REF!</v>
      </c>
      <c r="L37" s="458"/>
    </row>
    <row r="38" spans="2:12" x14ac:dyDescent="0.2">
      <c r="B38" s="10" t="s">
        <v>7</v>
      </c>
      <c r="C38" s="19">
        <f>INPUT!C37</f>
        <v>750000</v>
      </c>
      <c r="D38" s="49"/>
      <c r="E38" s="19">
        <f>INPUT!E37</f>
        <v>600000</v>
      </c>
      <c r="F38" s="459"/>
      <c r="G38" s="19">
        <f>INPUT!G37</f>
        <v>1000000</v>
      </c>
      <c r="H38" s="459"/>
      <c r="I38" s="19">
        <f>INPUT!I37</f>
        <v>1500000</v>
      </c>
      <c r="J38" s="459"/>
      <c r="K38" s="19" t="e">
        <f>INPUT!#REF!</f>
        <v>#REF!</v>
      </c>
      <c r="L38" s="459"/>
    </row>
    <row r="39" spans="2:12" s="337" customFormat="1" ht="12.75" customHeight="1" x14ac:dyDescent="0.2">
      <c r="B39" s="28" t="s">
        <v>34</v>
      </c>
      <c r="C39" s="19">
        <f>INPUT!C38</f>
        <v>0</v>
      </c>
      <c r="D39" s="336"/>
      <c r="E39" s="19">
        <f>INPUT!E38</f>
        <v>0</v>
      </c>
      <c r="F39" s="459"/>
      <c r="G39" s="19">
        <f>INPUT!G38</f>
        <v>0</v>
      </c>
      <c r="H39" s="459"/>
      <c r="I39" s="19">
        <f>INPUT!I38</f>
        <v>0</v>
      </c>
      <c r="J39" s="459"/>
      <c r="K39" s="19" t="e">
        <f>INPUT!#REF!</f>
        <v>#REF!</v>
      </c>
      <c r="L39" s="459"/>
    </row>
    <row r="40" spans="2:12" x14ac:dyDescent="0.2">
      <c r="B40" s="10" t="s">
        <v>267</v>
      </c>
      <c r="C40" s="270">
        <f>INPUT!C34</f>
        <v>28000</v>
      </c>
      <c r="D40" s="270"/>
      <c r="E40" s="270">
        <f>INPUT!E34</f>
        <v>30000</v>
      </c>
      <c r="F40" s="460">
        <f>INPUT!F34</f>
        <v>0</v>
      </c>
      <c r="G40" s="270">
        <f>INPUT!G34</f>
        <v>40000</v>
      </c>
      <c r="H40" s="460">
        <f>INPUT!H34</f>
        <v>0</v>
      </c>
      <c r="I40" s="270">
        <f>INPUT!I34</f>
        <v>36000</v>
      </c>
      <c r="J40" s="460"/>
      <c r="K40" s="270" t="e">
        <f>INPUT!#REF!</f>
        <v>#REF!</v>
      </c>
      <c r="L40" s="460"/>
    </row>
    <row r="41" spans="2:12" x14ac:dyDescent="0.2">
      <c r="B41" s="10" t="s">
        <v>388</v>
      </c>
      <c r="C41" s="270">
        <f>INPUT!C35</f>
        <v>0</v>
      </c>
      <c r="D41" s="270"/>
      <c r="E41" s="270">
        <f>INPUT!E35</f>
        <v>0</v>
      </c>
      <c r="F41" s="460"/>
      <c r="G41" s="270">
        <f>INPUT!G35</f>
        <v>0</v>
      </c>
      <c r="H41" s="460"/>
      <c r="I41" s="270">
        <f>INPUT!I35</f>
        <v>0</v>
      </c>
      <c r="J41" s="460"/>
      <c r="K41" s="270" t="e">
        <f>INPUT!#REF!</f>
        <v>#REF!</v>
      </c>
      <c r="L41" s="460"/>
    </row>
    <row r="42" spans="2:12" ht="15" x14ac:dyDescent="0.35">
      <c r="B42" s="10" t="s">
        <v>329</v>
      </c>
      <c r="C42" s="20">
        <f>INPUT!C39</f>
        <v>50000</v>
      </c>
      <c r="D42" s="20"/>
      <c r="E42" s="20">
        <f>INPUT!E39</f>
        <v>350000</v>
      </c>
      <c r="F42" s="453"/>
      <c r="G42" s="20">
        <f>INPUT!G39</f>
        <v>500000</v>
      </c>
      <c r="H42" s="453"/>
      <c r="I42" s="20">
        <f>INPUT!I39</f>
        <v>200000</v>
      </c>
      <c r="J42" s="453"/>
      <c r="K42" s="20" t="e">
        <f>INPUT!#REF!</f>
        <v>#REF!</v>
      </c>
      <c r="L42" s="453"/>
    </row>
    <row r="43" spans="2:12" x14ac:dyDescent="0.2">
      <c r="B43" s="9" t="s">
        <v>8</v>
      </c>
      <c r="C43" s="19">
        <f>SUM(C37:C42)</f>
        <v>903000</v>
      </c>
      <c r="E43" s="19">
        <f>SUM(E37:E42)</f>
        <v>1045000</v>
      </c>
      <c r="F43" s="454">
        <f>(E43-C43)/ABS(C43)</f>
        <v>0.15725359911406422</v>
      </c>
      <c r="G43" s="19">
        <f>SUM(G37:G42)</f>
        <v>1640000</v>
      </c>
      <c r="H43" s="454">
        <f>(G43-E43)/ABS(E43)</f>
        <v>0.56937799043062198</v>
      </c>
      <c r="I43" s="19">
        <f>SUM(I37:I42)</f>
        <v>1846000</v>
      </c>
      <c r="J43" s="454" t="e">
        <f>(I43-#REF!)/ABS(#REF!)</f>
        <v>#REF!</v>
      </c>
      <c r="K43" s="19" t="e">
        <f>SUM(K37:K42)</f>
        <v>#REF!</v>
      </c>
      <c r="L43" s="454" t="e">
        <f>(K43-I43)/ABS(I43)</f>
        <v>#REF!</v>
      </c>
    </row>
    <row r="44" spans="2:12" x14ac:dyDescent="0.2">
      <c r="B44" s="10"/>
      <c r="C44" s="19"/>
      <c r="E44" s="19"/>
      <c r="F44" s="450"/>
      <c r="G44" s="19"/>
      <c r="H44" s="450"/>
      <c r="I44" s="19"/>
      <c r="J44" s="450"/>
      <c r="K44" s="19"/>
      <c r="L44" s="450"/>
    </row>
    <row r="45" spans="2:12" x14ac:dyDescent="0.2">
      <c r="B45" s="9" t="s">
        <v>27</v>
      </c>
      <c r="C45" s="19"/>
      <c r="E45" s="19"/>
      <c r="F45" s="450"/>
      <c r="G45" s="19"/>
      <c r="H45" s="450"/>
      <c r="I45" s="19"/>
      <c r="J45" s="450"/>
      <c r="K45" s="19"/>
      <c r="L45" s="450"/>
    </row>
    <row r="46" spans="2:12" x14ac:dyDescent="0.2">
      <c r="B46" s="10" t="s">
        <v>28</v>
      </c>
      <c r="C46" s="19">
        <f>INPUT!C42+INPUT!C43</f>
        <v>2000000</v>
      </c>
      <c r="D46" s="49"/>
      <c r="E46" s="19">
        <f>INPUT!E42+INPUT!E43</f>
        <v>2500000</v>
      </c>
      <c r="F46" s="454"/>
      <c r="G46" s="19">
        <f>INPUT!G42+INPUT!G43</f>
        <v>1500000</v>
      </c>
      <c r="H46" s="454"/>
      <c r="I46" s="19">
        <f>INPUT!I42+INPUT!I43</f>
        <v>2500000</v>
      </c>
      <c r="J46" s="454"/>
      <c r="K46" s="19" t="e">
        <f>INPUT!#REF!+INPUT!#REF!</f>
        <v>#REF!</v>
      </c>
      <c r="L46" s="454"/>
    </row>
    <row r="47" spans="2:12" x14ac:dyDescent="0.2">
      <c r="B47" s="10" t="s">
        <v>29</v>
      </c>
      <c r="C47" s="19">
        <f>INPUT!C47</f>
        <v>0</v>
      </c>
      <c r="E47" s="19">
        <f>INPUT!E47</f>
        <v>0</v>
      </c>
      <c r="F47" s="454" t="e">
        <f>(E47-C47)/ABS(C47)</f>
        <v>#DIV/0!</v>
      </c>
      <c r="G47" s="19">
        <f>INPUT!G47</f>
        <v>1000000</v>
      </c>
      <c r="H47" s="454" t="e">
        <f>(G47-E47)/ABS(E47)</f>
        <v>#DIV/0!</v>
      </c>
      <c r="I47" s="19">
        <f>INPUT!I47</f>
        <v>1125000</v>
      </c>
      <c r="J47" s="454" t="e">
        <f>(I47-#REF!)/ABS(#REF!)</f>
        <v>#REF!</v>
      </c>
      <c r="K47" s="19" t="e">
        <f>INPUT!#REF!</f>
        <v>#REF!</v>
      </c>
      <c r="L47" s="454" t="e">
        <f>(K47-I47)/ABS(I47)</f>
        <v>#REF!</v>
      </c>
    </row>
    <row r="48" spans="2:12" x14ac:dyDescent="0.2">
      <c r="B48" s="10" t="s">
        <v>34</v>
      </c>
      <c r="C48" s="19">
        <f>INPUT!C46</f>
        <v>0</v>
      </c>
      <c r="E48" s="19">
        <f>INPUT!E46</f>
        <v>0</v>
      </c>
      <c r="F48" s="454"/>
      <c r="G48" s="19">
        <f>INPUT!G46</f>
        <v>0</v>
      </c>
      <c r="H48" s="454"/>
      <c r="I48" s="19">
        <f>INPUT!I46</f>
        <v>0</v>
      </c>
      <c r="J48" s="454"/>
      <c r="K48" s="19" t="e">
        <f>INPUT!#REF!</f>
        <v>#REF!</v>
      </c>
      <c r="L48" s="454"/>
    </row>
    <row r="49" spans="2:12" x14ac:dyDescent="0.2">
      <c r="B49" s="28" t="s">
        <v>376</v>
      </c>
      <c r="C49" s="19">
        <f>INPUT!C44</f>
        <v>0</v>
      </c>
      <c r="E49" s="19">
        <f>INPUT!E44</f>
        <v>0</v>
      </c>
      <c r="F49" s="454"/>
      <c r="G49" s="19">
        <f>INPUT!G44</f>
        <v>0</v>
      </c>
      <c r="H49" s="454"/>
      <c r="I49" s="19">
        <f>INPUT!I44</f>
        <v>0</v>
      </c>
      <c r="J49" s="454"/>
      <c r="K49" s="19" t="e">
        <f>INPUT!#REF!</f>
        <v>#REF!</v>
      </c>
      <c r="L49" s="454"/>
    </row>
    <row r="50" spans="2:12" ht="15" x14ac:dyDescent="0.35">
      <c r="B50" s="10" t="s">
        <v>30</v>
      </c>
      <c r="C50" s="20">
        <f>INPUT!C45</f>
        <v>100000</v>
      </c>
      <c r="D50" s="20"/>
      <c r="E50" s="20">
        <f>INPUT!E45</f>
        <v>75000</v>
      </c>
      <c r="F50" s="453"/>
      <c r="G50" s="20">
        <f>INPUT!G45</f>
        <v>250000</v>
      </c>
      <c r="H50" s="453"/>
      <c r="I50" s="20">
        <f>INPUT!I45</f>
        <v>150000</v>
      </c>
      <c r="J50" s="453"/>
      <c r="K50" s="20" t="e">
        <f>INPUT!#REF!</f>
        <v>#REF!</v>
      </c>
      <c r="L50" s="453"/>
    </row>
    <row r="51" spans="2:12" x14ac:dyDescent="0.2">
      <c r="B51" s="9" t="s">
        <v>9</v>
      </c>
      <c r="C51" s="19">
        <f>SUM(C46:C50)</f>
        <v>2100000</v>
      </c>
      <c r="E51" s="19">
        <f>SUM(E46:E50)</f>
        <v>2575000</v>
      </c>
      <c r="F51" s="454">
        <f>(E51-C51)/ABS(C51)</f>
        <v>0.22619047619047619</v>
      </c>
      <c r="G51" s="19">
        <f>SUM(G46:G50)</f>
        <v>2750000</v>
      </c>
      <c r="H51" s="454">
        <f>(G51-E51)/ABS(E51)</f>
        <v>6.7961165048543687E-2</v>
      </c>
      <c r="I51" s="19">
        <f>SUM(I46:I50)</f>
        <v>3775000</v>
      </c>
      <c r="J51" s="454" t="e">
        <f>(I51-#REF!)/ABS(#REF!)</f>
        <v>#REF!</v>
      </c>
      <c r="K51" s="19" t="e">
        <f>SUM(K46:K50)</f>
        <v>#REF!</v>
      </c>
      <c r="L51" s="454" t="e">
        <f>(K51-I51)/ABS(I51)</f>
        <v>#REF!</v>
      </c>
    </row>
    <row r="52" spans="2:12" x14ac:dyDescent="0.2">
      <c r="B52" s="10"/>
      <c r="C52" s="19"/>
      <c r="E52" s="19"/>
      <c r="F52" s="450"/>
      <c r="G52" s="19"/>
      <c r="H52" s="450"/>
      <c r="I52" s="19"/>
      <c r="J52" s="450"/>
      <c r="K52" s="19"/>
      <c r="L52" s="450"/>
    </row>
    <row r="53" spans="2:12" x14ac:dyDescent="0.2">
      <c r="B53" s="9" t="s">
        <v>31</v>
      </c>
      <c r="C53" s="19">
        <f>C43+C51</f>
        <v>3003000</v>
      </c>
      <c r="D53" s="16"/>
      <c r="E53" s="19">
        <f>E43+E51</f>
        <v>3620000</v>
      </c>
      <c r="F53" s="454">
        <f>(E53-C53)/ABS(C53)</f>
        <v>0.20546120546120547</v>
      </c>
      <c r="G53" s="19">
        <f>G43+G51</f>
        <v>4390000</v>
      </c>
      <c r="H53" s="454">
        <f>(G53-E53)/ABS(E53)</f>
        <v>0.212707182320442</v>
      </c>
      <c r="I53" s="19">
        <f>I43+I51</f>
        <v>5621000</v>
      </c>
      <c r="J53" s="454" t="e">
        <f>(I53-#REF!)/ABS(#REF!)</f>
        <v>#REF!</v>
      </c>
      <c r="K53" s="19" t="e">
        <f>K43+K51</f>
        <v>#REF!</v>
      </c>
      <c r="L53" s="454" t="e">
        <f>(K53-I53)/ABS(I53)</f>
        <v>#REF!</v>
      </c>
    </row>
    <row r="54" spans="2:12" x14ac:dyDescent="0.2">
      <c r="B54" s="10"/>
      <c r="C54" s="19"/>
      <c r="E54" s="19"/>
      <c r="F54" s="450"/>
      <c r="G54" s="19"/>
      <c r="H54" s="450"/>
      <c r="I54" s="19"/>
      <c r="J54" s="450"/>
      <c r="K54" s="19"/>
      <c r="L54" s="450"/>
    </row>
    <row r="55" spans="2:12" x14ac:dyDescent="0.2">
      <c r="B55" s="9" t="s">
        <v>32</v>
      </c>
      <c r="C55" s="19"/>
      <c r="D55" s="16"/>
      <c r="E55" s="19"/>
      <c r="F55" s="457"/>
      <c r="G55" s="19"/>
      <c r="H55" s="457"/>
      <c r="I55" s="19"/>
      <c r="J55" s="457"/>
      <c r="K55" s="19"/>
      <c r="L55" s="457"/>
    </row>
    <row r="56" spans="2:12" x14ac:dyDescent="0.2">
      <c r="B56" s="10" t="s">
        <v>10</v>
      </c>
      <c r="C56" s="19">
        <f>INPUT!C52</f>
        <v>1468000</v>
      </c>
      <c r="D56" s="49"/>
      <c r="E56" s="19">
        <f>INPUT!E52</f>
        <v>1532000</v>
      </c>
      <c r="F56" s="454"/>
      <c r="G56" s="19">
        <f>INPUT!G52</f>
        <v>1741000</v>
      </c>
      <c r="H56" s="454"/>
      <c r="I56" s="19">
        <f>INPUT!I52</f>
        <v>1443750</v>
      </c>
      <c r="J56" s="454"/>
      <c r="K56" s="19" t="e">
        <f>INPUT!#REF!</f>
        <v>#REF!</v>
      </c>
      <c r="L56" s="454"/>
    </row>
    <row r="57" spans="2:12" x14ac:dyDescent="0.2">
      <c r="B57" s="10" t="s">
        <v>383</v>
      </c>
      <c r="C57" s="19">
        <f>INPUT!C53</f>
        <v>0</v>
      </c>
      <c r="D57" s="269"/>
      <c r="E57" s="19">
        <f>INPUT!E53</f>
        <v>0</v>
      </c>
      <c r="F57" s="454"/>
      <c r="G57" s="19">
        <f>INPUT!G53</f>
        <v>0</v>
      </c>
      <c r="H57" s="454"/>
      <c r="I57" s="19">
        <f>INPUT!I53</f>
        <v>0</v>
      </c>
      <c r="J57" s="454"/>
      <c r="K57" s="19" t="e">
        <f>INPUT!#REF!</f>
        <v>#REF!</v>
      </c>
      <c r="L57" s="454"/>
    </row>
    <row r="58" spans="2:12" x14ac:dyDescent="0.2">
      <c r="B58" s="10" t="s">
        <v>422</v>
      </c>
      <c r="C58" s="19">
        <f>INPUT!C54</f>
        <v>0</v>
      </c>
      <c r="D58" s="269"/>
      <c r="E58" s="19">
        <f>INPUT!E54</f>
        <v>0</v>
      </c>
      <c r="F58" s="454"/>
      <c r="G58" s="19">
        <f>INPUT!G54</f>
        <v>0</v>
      </c>
      <c r="H58" s="454"/>
      <c r="I58" s="19">
        <f>INPUT!I54</f>
        <v>0</v>
      </c>
      <c r="J58" s="454"/>
      <c r="K58" s="19" t="e">
        <f>INPUT!#REF!</f>
        <v>#REF!</v>
      </c>
      <c r="L58" s="454"/>
    </row>
    <row r="59" spans="2:12" x14ac:dyDescent="0.2">
      <c r="B59" s="10" t="s">
        <v>279</v>
      </c>
      <c r="C59" s="19">
        <f>INPUT!C55</f>
        <v>0</v>
      </c>
      <c r="D59" s="49"/>
      <c r="E59" s="19">
        <f>INPUT!E55</f>
        <v>0</v>
      </c>
      <c r="F59" s="454"/>
      <c r="G59" s="19">
        <f>INPUT!G55</f>
        <v>0</v>
      </c>
      <c r="H59" s="454"/>
      <c r="I59" s="19">
        <f>INPUT!I55</f>
        <v>0</v>
      </c>
      <c r="J59" s="454"/>
      <c r="K59" s="19" t="e">
        <f>INPUT!#REF!</f>
        <v>#REF!</v>
      </c>
      <c r="L59" s="454"/>
    </row>
    <row r="60" spans="2:12" x14ac:dyDescent="0.2">
      <c r="B60" s="10" t="s">
        <v>297</v>
      </c>
      <c r="C60" s="19">
        <f>INPUT!C56</f>
        <v>500000</v>
      </c>
      <c r="D60" s="49"/>
      <c r="E60" s="19">
        <f>INPUT!E56</f>
        <v>800000</v>
      </c>
      <c r="F60" s="454"/>
      <c r="G60" s="19">
        <f>INPUT!G56</f>
        <v>700000</v>
      </c>
      <c r="H60" s="454"/>
      <c r="I60" s="19">
        <f>INPUT!I56</f>
        <v>1000000</v>
      </c>
      <c r="J60" s="454"/>
      <c r="K60" s="19" t="e">
        <f>INPUT!#REF!</f>
        <v>#REF!</v>
      </c>
      <c r="L60" s="454"/>
    </row>
    <row r="61" spans="2:12" x14ac:dyDescent="0.2">
      <c r="B61" s="10" t="s">
        <v>378</v>
      </c>
      <c r="C61" s="19">
        <f>INPUT!C57</f>
        <v>0</v>
      </c>
      <c r="D61" s="49"/>
      <c r="E61" s="19">
        <f>INPUT!E57</f>
        <v>0</v>
      </c>
      <c r="F61" s="454"/>
      <c r="G61" s="19">
        <f>INPUT!G57</f>
        <v>0</v>
      </c>
      <c r="H61" s="454"/>
      <c r="I61" s="19">
        <f>INPUT!I57</f>
        <v>0</v>
      </c>
      <c r="J61" s="454"/>
      <c r="K61" s="19" t="e">
        <f>INPUT!#REF!</f>
        <v>#REF!</v>
      </c>
      <c r="L61" s="454"/>
    </row>
    <row r="62" spans="2:12" x14ac:dyDescent="0.2">
      <c r="B62" s="10" t="s">
        <v>382</v>
      </c>
      <c r="C62" s="19">
        <f>INPUT!C58</f>
        <v>0</v>
      </c>
      <c r="D62" s="49"/>
      <c r="E62" s="19">
        <f>INPUT!E58</f>
        <v>0</v>
      </c>
      <c r="F62" s="454"/>
      <c r="G62" s="19">
        <f>INPUT!G58</f>
        <v>0</v>
      </c>
      <c r="H62" s="454"/>
      <c r="I62" s="19">
        <f>INPUT!I58</f>
        <v>0</v>
      </c>
      <c r="J62" s="454"/>
      <c r="K62" s="19" t="e">
        <f>INPUT!#REF!</f>
        <v>#REF!</v>
      </c>
      <c r="L62" s="454"/>
    </row>
    <row r="63" spans="2:12" x14ac:dyDescent="0.2">
      <c r="B63" s="10" t="s">
        <v>11</v>
      </c>
      <c r="C63" s="19">
        <f>INPUT!C59</f>
        <v>0</v>
      </c>
      <c r="D63" s="49"/>
      <c r="E63" s="19">
        <f>INPUT!E59</f>
        <v>0</v>
      </c>
      <c r="F63" s="454"/>
      <c r="G63" s="19">
        <f>INPUT!G59</f>
        <v>0</v>
      </c>
      <c r="H63" s="454"/>
      <c r="I63" s="19">
        <f>INPUT!I59</f>
        <v>0</v>
      </c>
      <c r="J63" s="454"/>
      <c r="K63" s="19" t="e">
        <f>INPUT!#REF!</f>
        <v>#REF!</v>
      </c>
      <c r="L63" s="454"/>
    </row>
    <row r="64" spans="2:12" x14ac:dyDescent="0.2">
      <c r="B64" s="9" t="s">
        <v>12</v>
      </c>
      <c r="C64" s="19">
        <f>SUM(C56:C63)</f>
        <v>1968000</v>
      </c>
      <c r="D64" s="207"/>
      <c r="E64" s="19">
        <f>SUM(E56:E63)</f>
        <v>2332000</v>
      </c>
      <c r="F64" s="454">
        <f>(E64-C64)/ABS(C64)</f>
        <v>0.18495934959349594</v>
      </c>
      <c r="G64" s="19">
        <f>SUM(G56:G63)</f>
        <v>2441000</v>
      </c>
      <c r="H64" s="454">
        <f>(G64-E64)/ABS(E64)</f>
        <v>4.6740994854202404E-2</v>
      </c>
      <c r="I64" s="19">
        <f>SUM(I56:I63)</f>
        <v>2443750</v>
      </c>
      <c r="J64" s="454" t="e">
        <f>(I64-#REF!)/ABS(#REF!)</f>
        <v>#REF!</v>
      </c>
      <c r="K64" s="19" t="e">
        <f>SUM(K56:K63)</f>
        <v>#REF!</v>
      </c>
      <c r="L64" s="454" t="e">
        <f>(K64-I64)/ABS(I64)</f>
        <v>#REF!</v>
      </c>
    </row>
    <row r="65" spans="1:13" x14ac:dyDescent="0.2">
      <c r="B65" s="10"/>
      <c r="F65" s="450"/>
      <c r="G65" s="768"/>
      <c r="H65" s="450"/>
      <c r="J65" s="450"/>
      <c r="L65" s="450"/>
    </row>
    <row r="66" spans="1:13" ht="13.5" thickBot="1" x14ac:dyDescent="0.25">
      <c r="B66" s="9" t="s">
        <v>33</v>
      </c>
      <c r="C66" s="464">
        <f>C53+C64</f>
        <v>4971000</v>
      </c>
      <c r="D66" s="15"/>
      <c r="E66" s="464">
        <f>E53+E64</f>
        <v>5952000</v>
      </c>
      <c r="F66" s="454">
        <f>(E66-C66)/ABS(C66)</f>
        <v>0.19734459867229934</v>
      </c>
      <c r="G66" s="464">
        <f>G53+G64</f>
        <v>6831000</v>
      </c>
      <c r="H66" s="454">
        <f>(G66-E66)/ABS(E66)</f>
        <v>0.14768145161290322</v>
      </c>
      <c r="I66" s="464">
        <f>I53+I64</f>
        <v>8064750</v>
      </c>
      <c r="J66" s="454" t="e">
        <f>(I66-#REF!)/ABS(#REF!)</f>
        <v>#REF!</v>
      </c>
      <c r="K66" s="464" t="e">
        <f>K53+K64</f>
        <v>#REF!</v>
      </c>
      <c r="L66" s="454" t="e">
        <f>(K66-I66)/ABS(I66)</f>
        <v>#REF!</v>
      </c>
    </row>
    <row r="67" spans="1:13" ht="13.5" thickTop="1" x14ac:dyDescent="0.2">
      <c r="B67" s="9"/>
      <c r="C67" s="462"/>
      <c r="D67" s="15"/>
      <c r="E67" s="462"/>
      <c r="F67" s="272"/>
      <c r="G67" s="463"/>
      <c r="H67" s="272"/>
      <c r="I67" s="463"/>
      <c r="J67" s="272"/>
      <c r="K67" s="463"/>
      <c r="L67" s="272"/>
    </row>
    <row r="68" spans="1:13" x14ac:dyDescent="0.2">
      <c r="B68" s="6" t="s">
        <v>336</v>
      </c>
      <c r="C68" s="462"/>
      <c r="D68" s="15"/>
      <c r="E68" s="462"/>
      <c r="F68" s="272"/>
      <c r="G68" s="463"/>
      <c r="H68" s="272"/>
      <c r="I68" s="463"/>
      <c r="J68" s="272"/>
      <c r="K68" s="463"/>
      <c r="L68" s="272"/>
    </row>
    <row r="69" spans="1:13" x14ac:dyDescent="0.2">
      <c r="B69" s="769"/>
      <c r="C69" s="769"/>
      <c r="D69" s="769"/>
      <c r="E69" s="769"/>
      <c r="F69" s="769"/>
      <c r="G69" s="769"/>
      <c r="H69" s="769"/>
      <c r="I69" s="769"/>
      <c r="J69" s="769"/>
      <c r="K69" s="769"/>
      <c r="L69" s="769"/>
    </row>
    <row r="70" spans="1:13" x14ac:dyDescent="0.2">
      <c r="B70" s="769"/>
      <c r="C70" s="769"/>
      <c r="D70" s="769"/>
      <c r="E70" s="769"/>
      <c r="F70" s="769"/>
      <c r="G70" s="769"/>
      <c r="H70" s="769"/>
      <c r="I70" s="769"/>
      <c r="J70" s="769"/>
      <c r="K70" s="769"/>
      <c r="L70" s="769"/>
    </row>
    <row r="71" spans="1:13" x14ac:dyDescent="0.2">
      <c r="B71" s="769"/>
      <c r="C71" s="769"/>
      <c r="D71" s="769"/>
      <c r="E71" s="769"/>
      <c r="F71" s="769"/>
      <c r="G71" s="769"/>
      <c r="H71" s="769"/>
      <c r="I71" s="769"/>
      <c r="J71" s="769"/>
      <c r="K71" s="769"/>
      <c r="L71" s="769"/>
    </row>
    <row r="72" spans="1:13" x14ac:dyDescent="0.2">
      <c r="B72" s="9"/>
      <c r="C72" s="462"/>
      <c r="D72" s="15"/>
      <c r="E72" s="462"/>
      <c r="F72" s="272"/>
      <c r="G72" s="463"/>
      <c r="H72" s="272"/>
      <c r="I72" s="463"/>
      <c r="J72" s="272"/>
      <c r="K72" s="463"/>
      <c r="L72" s="272"/>
    </row>
    <row r="73" spans="1:13" x14ac:dyDescent="0.2">
      <c r="B73" s="7" t="s">
        <v>127</v>
      </c>
      <c r="C73" s="21">
        <f>C32-C66</f>
        <v>-175000</v>
      </c>
      <c r="D73" s="15"/>
      <c r="E73" s="21">
        <f>E32-E66</f>
        <v>-175000</v>
      </c>
      <c r="F73" s="300"/>
      <c r="G73" s="106">
        <f>G32-G66</f>
        <v>-175000</v>
      </c>
      <c r="H73" s="300"/>
      <c r="I73" s="106">
        <f>I32-I66</f>
        <v>0</v>
      </c>
      <c r="J73" s="300"/>
      <c r="K73" s="106" t="e">
        <f>K32-K66</f>
        <v>#REF!</v>
      </c>
      <c r="L73" s="300"/>
    </row>
    <row r="74" spans="1:13" x14ac:dyDescent="0.2">
      <c r="D74" s="15"/>
      <c r="F74" s="15"/>
      <c r="H74" s="15"/>
      <c r="J74" s="15"/>
      <c r="L74" s="15"/>
    </row>
    <row r="75" spans="1:13" x14ac:dyDescent="0.2">
      <c r="A75" s="1" t="s">
        <v>86</v>
      </c>
      <c r="D75" s="15"/>
      <c r="F75" s="15"/>
      <c r="H75" s="15"/>
      <c r="J75" s="15"/>
      <c r="L75" s="15"/>
    </row>
    <row r="76" spans="1:13" x14ac:dyDescent="0.2">
      <c r="D76" s="15"/>
      <c r="F76" s="15"/>
      <c r="H76" s="15"/>
      <c r="J76" s="15"/>
      <c r="L76" s="15"/>
    </row>
    <row r="77" spans="1:13" x14ac:dyDescent="0.2">
      <c r="B77" s="4"/>
      <c r="D77" s="15"/>
      <c r="F77" s="15"/>
      <c r="H77" s="15"/>
      <c r="J77" s="15"/>
      <c r="L77" s="15"/>
    </row>
    <row r="78" spans="1:13" x14ac:dyDescent="0.2">
      <c r="B78" s="330"/>
      <c r="C78" s="328"/>
      <c r="D78" s="313"/>
      <c r="E78" s="328"/>
      <c r="F78" s="313"/>
      <c r="G78" s="328"/>
      <c r="H78" s="313"/>
      <c r="I78" s="328"/>
      <c r="J78" s="313"/>
      <c r="K78" s="328"/>
      <c r="L78" s="313"/>
      <c r="M78" s="337"/>
    </row>
    <row r="79" spans="1:13" x14ac:dyDescent="0.2">
      <c r="B79" s="330"/>
      <c r="C79" s="328"/>
      <c r="D79" s="315"/>
      <c r="E79" s="328"/>
      <c r="F79" s="315"/>
      <c r="G79" s="328"/>
      <c r="H79" s="315"/>
      <c r="I79" s="328"/>
      <c r="J79" s="315"/>
      <c r="K79" s="328"/>
      <c r="L79" s="315"/>
      <c r="M79" s="337"/>
    </row>
    <row r="80" spans="1:13" x14ac:dyDescent="0.2">
      <c r="B80" s="330"/>
      <c r="C80" s="328"/>
      <c r="D80" s="313"/>
      <c r="E80" s="328"/>
      <c r="F80" s="313"/>
      <c r="G80" s="328"/>
      <c r="H80" s="313"/>
      <c r="I80" s="328"/>
      <c r="J80" s="313"/>
      <c r="K80" s="328"/>
      <c r="L80" s="313"/>
      <c r="M80" s="337"/>
    </row>
    <row r="81" spans="2:13" x14ac:dyDescent="0.2">
      <c r="B81" s="330"/>
      <c r="C81" s="328"/>
      <c r="D81" s="313"/>
      <c r="E81" s="328"/>
      <c r="F81" s="313"/>
      <c r="G81" s="328"/>
      <c r="H81" s="313"/>
      <c r="I81" s="328"/>
      <c r="J81" s="313"/>
      <c r="K81" s="328"/>
      <c r="L81" s="313"/>
      <c r="M81" s="337"/>
    </row>
    <row r="82" spans="2:13" x14ac:dyDescent="0.2">
      <c r="B82" s="338"/>
      <c r="D82" s="15"/>
      <c r="F82" s="15"/>
      <c r="H82" s="15"/>
      <c r="J82" s="15"/>
      <c r="L82" s="15"/>
    </row>
    <row r="83" spans="2:13" x14ac:dyDescent="0.2">
      <c r="D83" s="15"/>
      <c r="F83" s="15"/>
      <c r="H83" s="15"/>
      <c r="J83" s="15"/>
      <c r="L83" s="15"/>
    </row>
    <row r="85" spans="2:13" x14ac:dyDescent="0.2">
      <c r="D85" s="16"/>
      <c r="F85" s="16"/>
      <c r="H85" s="16"/>
      <c r="J85" s="16"/>
      <c r="L85" s="16"/>
    </row>
    <row r="88" spans="2:13" x14ac:dyDescent="0.2">
      <c r="D88" s="16"/>
      <c r="F88" s="16"/>
      <c r="H88" s="16"/>
      <c r="J88" s="16"/>
      <c r="L88" s="16"/>
    </row>
    <row r="89" spans="2:13" x14ac:dyDescent="0.2">
      <c r="D89" s="16"/>
      <c r="F89" s="16"/>
      <c r="H89" s="16"/>
      <c r="J89" s="16"/>
      <c r="L89" s="16"/>
    </row>
    <row r="90" spans="2:13" x14ac:dyDescent="0.2">
      <c r="D90" s="16"/>
      <c r="F90" s="16"/>
      <c r="H90" s="16"/>
      <c r="J90" s="16"/>
      <c r="L90" s="16"/>
    </row>
    <row r="91" spans="2:13" x14ac:dyDescent="0.2">
      <c r="D91" s="16"/>
      <c r="F91" s="16"/>
      <c r="H91" s="16"/>
      <c r="J91" s="16"/>
      <c r="L91" s="16"/>
    </row>
    <row r="92" spans="2:13" x14ac:dyDescent="0.2">
      <c r="D92" s="16"/>
      <c r="F92" s="16"/>
      <c r="H92" s="16"/>
      <c r="J92" s="16"/>
      <c r="L92" s="16"/>
    </row>
    <row r="93" spans="2:13" x14ac:dyDescent="0.2">
      <c r="D93" s="16"/>
      <c r="F93" s="16"/>
      <c r="H93" s="16"/>
      <c r="J93" s="16"/>
      <c r="L93" s="16"/>
    </row>
    <row r="94" spans="2:13" x14ac:dyDescent="0.2">
      <c r="D94" s="16"/>
      <c r="F94" s="16"/>
      <c r="H94" s="16"/>
      <c r="J94" s="16"/>
      <c r="L94" s="16"/>
    </row>
    <row r="95" spans="2:13" x14ac:dyDescent="0.2">
      <c r="D95" s="16"/>
      <c r="F95" s="16"/>
      <c r="H95" s="16"/>
      <c r="J95" s="16"/>
      <c r="L95" s="16"/>
    </row>
    <row r="96" spans="2:13" x14ac:dyDescent="0.2">
      <c r="D96" s="16"/>
      <c r="F96" s="16"/>
      <c r="H96" s="16"/>
      <c r="J96" s="16"/>
      <c r="L96" s="16"/>
    </row>
    <row r="97" spans="4:12" x14ac:dyDescent="0.2">
      <c r="D97" s="16"/>
      <c r="F97" s="16"/>
      <c r="H97" s="16"/>
      <c r="J97" s="16"/>
      <c r="L97" s="16"/>
    </row>
    <row r="98" spans="4:12" x14ac:dyDescent="0.2">
      <c r="D98" s="16"/>
      <c r="F98" s="16"/>
      <c r="H98" s="16"/>
      <c r="J98" s="16"/>
      <c r="L98" s="16"/>
    </row>
    <row r="99" spans="4:12" x14ac:dyDescent="0.2">
      <c r="D99" s="16"/>
      <c r="F99" s="16"/>
      <c r="H99" s="16"/>
      <c r="J99" s="16"/>
      <c r="L99" s="16"/>
    </row>
    <row r="100" spans="4:12" x14ac:dyDescent="0.2">
      <c r="D100" s="16"/>
      <c r="F100" s="16"/>
      <c r="H100" s="16"/>
      <c r="J100" s="16"/>
      <c r="L100" s="16"/>
    </row>
    <row r="101" spans="4:12" x14ac:dyDescent="0.2">
      <c r="D101" s="17"/>
      <c r="F101" s="17"/>
      <c r="H101" s="17"/>
      <c r="J101" s="17"/>
      <c r="L101" s="17"/>
    </row>
  </sheetData>
  <mergeCells count="3">
    <mergeCell ref="B69:L69"/>
    <mergeCell ref="B70:L70"/>
    <mergeCell ref="B71:L71"/>
  </mergeCells>
  <phoneticPr fontId="3" type="noConversion"/>
  <pageMargins left="0.75" right="0.75" top="1" bottom="1" header="0.5" footer="0.5"/>
  <pageSetup scale="66" orientation="portrait" horizontalDpi="360"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3"/>
    <pageSetUpPr fitToPage="1"/>
  </sheetPr>
  <dimension ref="A1:AB97"/>
  <sheetViews>
    <sheetView zoomScale="75" zoomScaleNormal="75" workbookViewId="0">
      <selection activeCell="C26" sqref="C26"/>
    </sheetView>
  </sheetViews>
  <sheetFormatPr defaultRowHeight="12.75" x14ac:dyDescent="0.2"/>
  <cols>
    <col min="1" max="1" width="7" style="4" customWidth="1"/>
    <col min="2" max="2" width="55.6640625" style="7" customWidth="1"/>
    <col min="3" max="3" width="12.83203125" style="8" customWidth="1"/>
    <col min="4" max="4" width="1.83203125" style="50" hidden="1" customWidth="1"/>
    <col min="5" max="5" width="12.83203125" style="8" customWidth="1"/>
    <col min="6" max="6" width="6.83203125" style="13" customWidth="1"/>
    <col min="7" max="7" width="12.83203125" style="8" customWidth="1"/>
    <col min="8" max="8" width="6.83203125" style="13" customWidth="1"/>
    <col min="9" max="9" width="12.83203125" style="8" customWidth="1"/>
    <col min="10" max="10" width="6.83203125" style="13" customWidth="1"/>
    <col min="11" max="11" width="12.83203125" style="8" customWidth="1"/>
    <col min="12" max="12" width="6.83203125" style="13" customWidth="1"/>
    <col min="13" max="13" width="12.83203125" style="8" customWidth="1"/>
    <col min="14" max="14" width="6.83203125" style="13" customWidth="1"/>
    <col min="15" max="16384" width="9.33203125" style="4"/>
  </cols>
  <sheetData>
    <row r="1" spans="1:28" x14ac:dyDescent="0.2">
      <c r="B1" s="6"/>
      <c r="D1" s="219"/>
      <c r="F1" s="12"/>
      <c r="H1" s="12"/>
      <c r="J1" s="12"/>
      <c r="L1" s="12"/>
      <c r="N1" s="12"/>
    </row>
    <row r="2" spans="1:28" ht="18" x14ac:dyDescent="0.25">
      <c r="A2" s="29" t="str">
        <f>INPUT!B2</f>
        <v>SAMPLE</v>
      </c>
      <c r="D2" s="219"/>
      <c r="F2" s="12"/>
      <c r="H2" s="12"/>
      <c r="J2" s="12"/>
      <c r="L2" s="12"/>
      <c r="N2" s="12"/>
    </row>
    <row r="3" spans="1:28" ht="18" x14ac:dyDescent="0.25">
      <c r="A3" s="29"/>
      <c r="C3" s="2" t="str">
        <f>INPUT!C4</f>
        <v>AUDIT</v>
      </c>
      <c r="D3" s="43"/>
      <c r="E3" s="2" t="str">
        <f>INPUT!E4</f>
        <v>AUDIT</v>
      </c>
      <c r="F3" s="369"/>
      <c r="G3" s="2" t="str">
        <f>INPUT!G4</f>
        <v>AUDIT</v>
      </c>
      <c r="H3" s="369"/>
      <c r="I3" s="2" t="e">
        <f>INPUT!#REF!</f>
        <v>#REF!</v>
      </c>
      <c r="J3" s="369"/>
      <c r="K3" s="2" t="str">
        <f>INPUT!I4</f>
        <v>INTERIM</v>
      </c>
      <c r="L3" s="369"/>
      <c r="M3" s="2" t="e">
        <f>INPUT!#REF!</f>
        <v>#REF!</v>
      </c>
      <c r="N3" s="369"/>
    </row>
    <row r="4" spans="1:28" s="47" customFormat="1" x14ac:dyDescent="0.2">
      <c r="A4" s="208" t="s">
        <v>421</v>
      </c>
      <c r="C4" s="48">
        <f>INPUT!C5</f>
        <v>40908</v>
      </c>
      <c r="D4" s="48"/>
      <c r="E4" s="48">
        <f>INPUT!E5</f>
        <v>41274</v>
      </c>
      <c r="F4" s="448" t="s">
        <v>0</v>
      </c>
      <c r="G4" s="48">
        <f>INPUT!G5</f>
        <v>41639</v>
      </c>
      <c r="H4" s="448" t="s">
        <v>0</v>
      </c>
      <c r="I4" s="48" t="e">
        <f>INPUT!#REF!</f>
        <v>#REF!</v>
      </c>
      <c r="J4" s="448" t="s">
        <v>0</v>
      </c>
      <c r="K4" s="48">
        <f>INPUT!I5</f>
        <v>42004</v>
      </c>
      <c r="L4" s="448" t="s">
        <v>0</v>
      </c>
      <c r="M4" s="48" t="e">
        <f>INPUT!#REF!</f>
        <v>#REF!</v>
      </c>
      <c r="N4" s="448" t="s">
        <v>0</v>
      </c>
      <c r="O4" s="209"/>
      <c r="P4" s="209"/>
      <c r="Q4" s="209"/>
      <c r="R4" s="209"/>
      <c r="S4" s="209"/>
      <c r="T4" s="209"/>
      <c r="U4" s="209"/>
      <c r="V4" s="209"/>
      <c r="W4" s="209"/>
      <c r="X4" s="209"/>
      <c r="Y4" s="209"/>
      <c r="Z4" s="209"/>
      <c r="AA4" s="209"/>
      <c r="AB4" s="209"/>
    </row>
    <row r="5" spans="1:28" x14ac:dyDescent="0.2">
      <c r="C5" s="220"/>
      <c r="D5" s="221"/>
      <c r="E5" s="220"/>
      <c r="F5" s="449"/>
      <c r="G5" s="220"/>
      <c r="H5" s="449"/>
      <c r="I5" s="220"/>
      <c r="J5" s="449"/>
      <c r="K5" s="220"/>
      <c r="L5" s="449"/>
      <c r="M5" s="220"/>
      <c r="N5" s="449"/>
    </row>
    <row r="6" spans="1:28" x14ac:dyDescent="0.2">
      <c r="B6" s="9" t="s">
        <v>35</v>
      </c>
      <c r="C6" s="222"/>
      <c r="D6" s="217"/>
      <c r="E6" s="222"/>
      <c r="F6" s="450"/>
      <c r="G6" s="222"/>
      <c r="H6" s="450"/>
      <c r="I6" s="222"/>
      <c r="J6" s="450"/>
      <c r="K6" s="222"/>
      <c r="L6" s="450"/>
      <c r="M6" s="222"/>
      <c r="N6" s="450"/>
    </row>
    <row r="7" spans="1:28" x14ac:dyDescent="0.2">
      <c r="B7" s="9" t="s">
        <v>36</v>
      </c>
      <c r="F7" s="451"/>
      <c r="H7" s="451"/>
      <c r="J7" s="451"/>
      <c r="L7" s="451"/>
      <c r="N7" s="451"/>
    </row>
    <row r="8" spans="1:28" x14ac:dyDescent="0.2">
      <c r="B8" s="10" t="s">
        <v>330</v>
      </c>
      <c r="C8" s="210">
        <f>INPUT!C73</f>
        <v>100000</v>
      </c>
      <c r="D8" s="210"/>
      <c r="E8" s="210">
        <f>INPUT!E73</f>
        <v>125000</v>
      </c>
      <c r="F8" s="452"/>
      <c r="G8" s="210">
        <f>INPUT!G73</f>
        <v>150000</v>
      </c>
      <c r="H8" s="452"/>
      <c r="I8" s="210" t="e">
        <f>INPUT!#REF!</f>
        <v>#REF!</v>
      </c>
      <c r="J8" s="452"/>
      <c r="K8" s="210">
        <f>INPUT!I73</f>
        <v>200000</v>
      </c>
      <c r="L8" s="452"/>
      <c r="M8" s="210" t="e">
        <f>INPUT!#REF!</f>
        <v>#REF!</v>
      </c>
      <c r="N8" s="452"/>
    </row>
    <row r="9" spans="1:28" x14ac:dyDescent="0.2">
      <c r="B9" s="10" t="s">
        <v>331</v>
      </c>
      <c r="C9" s="19">
        <f>INPUT!C74</f>
        <v>400</v>
      </c>
      <c r="D9" s="22"/>
      <c r="E9" s="19">
        <f>INPUT!E74</f>
        <v>750</v>
      </c>
      <c r="F9" s="452"/>
      <c r="G9" s="19">
        <f>INPUT!G74</f>
        <v>1000</v>
      </c>
      <c r="H9" s="452"/>
      <c r="I9" s="19" t="e">
        <f>INPUT!#REF!</f>
        <v>#REF!</v>
      </c>
      <c r="J9" s="452"/>
      <c r="K9" s="19">
        <f>INPUT!I74</f>
        <v>1120</v>
      </c>
      <c r="L9" s="452"/>
      <c r="M9" s="19" t="e">
        <f>INPUT!#REF!</f>
        <v>#REF!</v>
      </c>
      <c r="N9" s="452"/>
    </row>
    <row r="10" spans="1:28" x14ac:dyDescent="0.2">
      <c r="B10" s="10" t="s">
        <v>276</v>
      </c>
      <c r="C10" s="19">
        <f>SUM(C8:C9)</f>
        <v>100400</v>
      </c>
      <c r="D10" s="211"/>
      <c r="E10" s="19">
        <f>SUM(E8:E9)</f>
        <v>125750</v>
      </c>
      <c r="F10" s="452"/>
      <c r="G10" s="19">
        <f>SUM(G8:G9)</f>
        <v>151000</v>
      </c>
      <c r="H10" s="452"/>
      <c r="I10" s="19" t="e">
        <f>SUM(I8:I9)</f>
        <v>#REF!</v>
      </c>
      <c r="J10" s="452"/>
      <c r="K10" s="19">
        <f>SUM(K8:K9)</f>
        <v>201120</v>
      </c>
      <c r="L10" s="452"/>
      <c r="M10" s="19" t="e">
        <f>SUM(M8:M9)</f>
        <v>#REF!</v>
      </c>
      <c r="N10" s="452"/>
    </row>
    <row r="11" spans="1:28" ht="15" x14ac:dyDescent="0.35">
      <c r="B11" s="10" t="s">
        <v>424</v>
      </c>
      <c r="C11" s="212">
        <f>-INPUT!C90</f>
        <v>-45000</v>
      </c>
      <c r="D11" s="212"/>
      <c r="E11" s="212">
        <f>-INPUT!E90</f>
        <v>-60000</v>
      </c>
      <c r="F11" s="452"/>
      <c r="G11" s="212">
        <f>-INPUT!G90</f>
        <v>-75000</v>
      </c>
      <c r="H11" s="452"/>
      <c r="I11" s="212" t="e">
        <f>-INPUT!#REF!</f>
        <v>#REF!</v>
      </c>
      <c r="J11" s="452"/>
      <c r="K11" s="212">
        <f>-INPUT!I90</f>
        <v>-90000</v>
      </c>
      <c r="L11" s="452"/>
      <c r="M11" s="212" t="e">
        <f>-INPUT!#REF!</f>
        <v>#REF!</v>
      </c>
      <c r="N11" s="452"/>
    </row>
    <row r="12" spans="1:28" x14ac:dyDescent="0.2">
      <c r="B12" s="10" t="s">
        <v>309</v>
      </c>
      <c r="C12" s="19">
        <f>SUM(C10:C11)</f>
        <v>55400</v>
      </c>
      <c r="D12" s="211"/>
      <c r="E12" s="19">
        <f>SUM(E10:E11)</f>
        <v>65750</v>
      </c>
      <c r="F12" s="452"/>
      <c r="G12" s="19">
        <f>SUM(G10:G11)</f>
        <v>76000</v>
      </c>
      <c r="H12" s="452"/>
      <c r="I12" s="19" t="e">
        <f>SUM(I10:I11)</f>
        <v>#REF!</v>
      </c>
      <c r="J12" s="452"/>
      <c r="K12" s="19">
        <f>SUM(K10:K11)</f>
        <v>111120</v>
      </c>
      <c r="L12" s="452"/>
      <c r="M12" s="19" t="e">
        <f>SUM(M10:M11)</f>
        <v>#REF!</v>
      </c>
      <c r="N12" s="452"/>
    </row>
    <row r="13" spans="1:28" ht="15" x14ac:dyDescent="0.35">
      <c r="B13" s="10" t="s">
        <v>37</v>
      </c>
      <c r="C13" s="212">
        <f>-INPUT!C91</f>
        <v>-125000</v>
      </c>
      <c r="D13" s="212"/>
      <c r="E13" s="212">
        <f>-INPUT!E91</f>
        <v>-150000</v>
      </c>
      <c r="F13" s="452"/>
      <c r="G13" s="212">
        <f>-INPUT!G91</f>
        <v>-200000</v>
      </c>
      <c r="H13" s="452"/>
      <c r="I13" s="212" t="e">
        <f>-INPUT!#REF!</f>
        <v>#REF!</v>
      </c>
      <c r="J13" s="452"/>
      <c r="K13" s="212">
        <f>-INPUT!I91</f>
        <v>-125000</v>
      </c>
      <c r="L13" s="452"/>
      <c r="M13" s="212" t="e">
        <f>-INPUT!#REF!</f>
        <v>#REF!</v>
      </c>
      <c r="N13" s="452"/>
    </row>
    <row r="14" spans="1:28" x14ac:dyDescent="0.2">
      <c r="B14" s="10" t="s">
        <v>314</v>
      </c>
      <c r="C14" s="19">
        <f>C12+C13</f>
        <v>-69600</v>
      </c>
      <c r="D14" s="213"/>
      <c r="E14" s="19">
        <f>E12+E13</f>
        <v>-84250</v>
      </c>
      <c r="F14" s="452"/>
      <c r="G14" s="19">
        <f>G12+G13</f>
        <v>-124000</v>
      </c>
      <c r="H14" s="452"/>
      <c r="I14" s="19" t="e">
        <f>I12+I13</f>
        <v>#REF!</v>
      </c>
      <c r="J14" s="452"/>
      <c r="K14" s="19">
        <f>K12+K13</f>
        <v>-13880</v>
      </c>
      <c r="L14" s="452"/>
      <c r="M14" s="19" t="e">
        <f>M12+M13</f>
        <v>#REF!</v>
      </c>
      <c r="N14" s="452"/>
    </row>
    <row r="15" spans="1:28" ht="15" x14ac:dyDescent="0.35">
      <c r="B15" s="10" t="s">
        <v>310</v>
      </c>
      <c r="C15" s="212">
        <f>INPUT!C76</f>
        <v>0</v>
      </c>
      <c r="D15" s="213"/>
      <c r="E15" s="212">
        <f>INPUT!E76</f>
        <v>0</v>
      </c>
      <c r="F15" s="452"/>
      <c r="G15" s="212">
        <f>INPUT!G76</f>
        <v>0</v>
      </c>
      <c r="H15" s="452"/>
      <c r="I15" s="212" t="e">
        <f>INPUT!#REF!</f>
        <v>#REF!</v>
      </c>
      <c r="J15" s="452"/>
      <c r="K15" s="212">
        <f>INPUT!I76</f>
        <v>0</v>
      </c>
      <c r="L15" s="452"/>
      <c r="M15" s="212" t="e">
        <f>INPUT!#REF!</f>
        <v>#REF!</v>
      </c>
      <c r="N15" s="452"/>
    </row>
    <row r="16" spans="1:28" x14ac:dyDescent="0.2">
      <c r="B16" s="9" t="s">
        <v>38</v>
      </c>
      <c r="C16" s="19">
        <f>SUM(C14:C15)</f>
        <v>-69600</v>
      </c>
      <c r="E16" s="19">
        <f>SUM(E14:E15)</f>
        <v>-84250</v>
      </c>
      <c r="F16" s="454">
        <f>(E16-C16)/ABS(C16)</f>
        <v>-0.21048850574712644</v>
      </c>
      <c r="G16" s="19">
        <f>SUM(G14:G15)</f>
        <v>-124000</v>
      </c>
      <c r="H16" s="454">
        <f>(G16-E16)/ABS(E16)</f>
        <v>-0.47181008902077154</v>
      </c>
      <c r="I16" s="19" t="e">
        <f>SUM(I14:I15)</f>
        <v>#REF!</v>
      </c>
      <c r="J16" s="454" t="e">
        <f>(I16-G16)/ABS(G16)</f>
        <v>#REF!</v>
      </c>
      <c r="K16" s="19">
        <f>SUM(K14:K15)</f>
        <v>-13880</v>
      </c>
      <c r="L16" s="454" t="e">
        <f>(K16-I16)/ABS(I16)</f>
        <v>#REF!</v>
      </c>
      <c r="M16" s="19" t="e">
        <f>SUM(M14:M15)</f>
        <v>#REF!</v>
      </c>
      <c r="N16" s="454" t="e">
        <f>(M16-K16)/ABS(K16)</f>
        <v>#REF!</v>
      </c>
    </row>
    <row r="17" spans="2:14" ht="15" x14ac:dyDescent="0.35">
      <c r="B17" s="4"/>
      <c r="C17" s="19"/>
      <c r="D17" s="211"/>
      <c r="E17" s="19"/>
      <c r="F17" s="453"/>
      <c r="G17" s="19"/>
      <c r="H17" s="453"/>
      <c r="I17" s="19"/>
      <c r="J17" s="453"/>
      <c r="K17" s="19"/>
      <c r="L17" s="453"/>
      <c r="M17" s="19"/>
      <c r="N17" s="453"/>
    </row>
    <row r="18" spans="2:14" ht="15" x14ac:dyDescent="0.35">
      <c r="B18" s="9" t="s">
        <v>311</v>
      </c>
      <c r="C18" s="19"/>
      <c r="D18" s="212"/>
      <c r="E18" s="19"/>
      <c r="F18" s="454"/>
      <c r="G18" s="19"/>
      <c r="H18" s="454"/>
      <c r="I18" s="19"/>
      <c r="J18" s="454"/>
      <c r="K18" s="19"/>
      <c r="L18" s="454"/>
      <c r="M18" s="19"/>
      <c r="N18" s="454"/>
    </row>
    <row r="19" spans="2:14" x14ac:dyDescent="0.2">
      <c r="B19" s="227" t="s">
        <v>324</v>
      </c>
      <c r="C19" s="19">
        <f>INPUT!C77</f>
        <v>25000</v>
      </c>
      <c r="D19" s="22"/>
      <c r="E19" s="19">
        <f>INPUT!E77</f>
        <v>40000</v>
      </c>
      <c r="F19" s="455"/>
      <c r="G19" s="19">
        <f>INPUT!G77</f>
        <v>55000</v>
      </c>
      <c r="H19" s="455"/>
      <c r="I19" s="19" t="e">
        <f>INPUT!#REF!</f>
        <v>#REF!</v>
      </c>
      <c r="J19" s="455"/>
      <c r="K19" s="19">
        <f>INPUT!I77</f>
        <v>90000</v>
      </c>
      <c r="L19" s="455"/>
      <c r="M19" s="19" t="e">
        <f>INPUT!#REF!</f>
        <v>#REF!</v>
      </c>
      <c r="N19" s="455"/>
    </row>
    <row r="20" spans="2:14" x14ac:dyDescent="0.2">
      <c r="B20" s="227" t="s">
        <v>59</v>
      </c>
      <c r="C20" s="19">
        <f>INPUT!C79</f>
        <v>200000</v>
      </c>
      <c r="E20" s="19">
        <f>INPUT!E79</f>
        <v>300000</v>
      </c>
      <c r="F20" s="455"/>
      <c r="G20" s="19">
        <f>INPUT!G79</f>
        <v>408000</v>
      </c>
      <c r="H20" s="455"/>
      <c r="I20" s="19" t="e">
        <f>INPUT!#REF!</f>
        <v>#REF!</v>
      </c>
      <c r="J20" s="455"/>
      <c r="K20" s="19">
        <f>INPUT!I79</f>
        <v>250000</v>
      </c>
      <c r="L20" s="455"/>
      <c r="M20" s="19" t="e">
        <f>INPUT!#REF!</f>
        <v>#REF!</v>
      </c>
      <c r="N20" s="455"/>
    </row>
    <row r="21" spans="2:14" hidden="1" x14ac:dyDescent="0.2">
      <c r="B21" s="227" t="s">
        <v>64</v>
      </c>
      <c r="C21" s="19">
        <v>0</v>
      </c>
      <c r="D21" s="213"/>
      <c r="E21" s="19">
        <v>0</v>
      </c>
      <c r="F21" s="450"/>
      <c r="G21" s="19">
        <v>0</v>
      </c>
      <c r="H21" s="450"/>
      <c r="I21" s="19">
        <v>0</v>
      </c>
      <c r="J21" s="450"/>
      <c r="K21" s="19">
        <v>0</v>
      </c>
      <c r="L21" s="450"/>
      <c r="M21" s="19">
        <v>0</v>
      </c>
      <c r="N21" s="450"/>
    </row>
    <row r="22" spans="2:14" ht="15" x14ac:dyDescent="0.35">
      <c r="B22" s="227" t="s">
        <v>565</v>
      </c>
      <c r="C22" s="19">
        <f>INPUT!C81</f>
        <v>50000</v>
      </c>
      <c r="D22" s="225"/>
      <c r="E22" s="19">
        <f>INPUT!E81</f>
        <v>75000</v>
      </c>
      <c r="F22" s="452"/>
      <c r="G22" s="19">
        <f>INPUT!G81</f>
        <v>80000</v>
      </c>
      <c r="H22" s="452"/>
      <c r="I22" s="19" t="e">
        <f>INPUT!#REF!</f>
        <v>#REF!</v>
      </c>
      <c r="J22" s="452"/>
      <c r="K22" s="19">
        <f>INPUT!I81</f>
        <v>202000</v>
      </c>
      <c r="L22" s="452"/>
      <c r="M22" s="19" t="e">
        <f>INPUT!#REF!</f>
        <v>#REF!</v>
      </c>
      <c r="N22" s="452"/>
    </row>
    <row r="23" spans="2:14" x14ac:dyDescent="0.2">
      <c r="B23" s="228" t="s">
        <v>39</v>
      </c>
      <c r="C23" s="19">
        <f>SUM(C19:C22)</f>
        <v>275000</v>
      </c>
      <c r="D23" s="213"/>
      <c r="E23" s="19">
        <f>SUM(E19:E22)</f>
        <v>415000</v>
      </c>
      <c r="F23" s="454">
        <f>(E23-C23)/ABS(C23)</f>
        <v>0.50909090909090904</v>
      </c>
      <c r="G23" s="19">
        <f>SUM(G19:G22)</f>
        <v>543000</v>
      </c>
      <c r="H23" s="454">
        <f>(G23-E23)/ABS(E23)</f>
        <v>0.30843373493975906</v>
      </c>
      <c r="I23" s="19" t="e">
        <f>SUM(I19:I22)</f>
        <v>#REF!</v>
      </c>
      <c r="J23" s="454" t="e">
        <f>(I23-G23)/ABS(G23)</f>
        <v>#REF!</v>
      </c>
      <c r="K23" s="19">
        <f>SUM(K19:K22)</f>
        <v>542000</v>
      </c>
      <c r="L23" s="454" t="e">
        <f>(K23-I23)/ABS(I23)</f>
        <v>#REF!</v>
      </c>
      <c r="M23" s="19" t="e">
        <f>SUM(M19:M22)</f>
        <v>#REF!</v>
      </c>
      <c r="N23" s="454" t="e">
        <f>(M23-K23)/ABS(K23)</f>
        <v>#REF!</v>
      </c>
    </row>
    <row r="24" spans="2:14" x14ac:dyDescent="0.2">
      <c r="B24" s="227"/>
      <c r="C24" s="19"/>
      <c r="D24" s="213"/>
      <c r="E24" s="19"/>
      <c r="F24" s="454"/>
      <c r="G24" s="19"/>
      <c r="H24" s="454"/>
      <c r="I24" s="19"/>
      <c r="J24" s="454"/>
      <c r="K24" s="19"/>
      <c r="L24" s="454"/>
      <c r="M24" s="19"/>
      <c r="N24" s="454"/>
    </row>
    <row r="25" spans="2:14" x14ac:dyDescent="0.2">
      <c r="B25" s="228" t="s">
        <v>40</v>
      </c>
      <c r="C25" s="19"/>
      <c r="D25" s="213"/>
      <c r="E25" s="19"/>
      <c r="F25" s="455"/>
      <c r="G25" s="19"/>
      <c r="H25" s="455"/>
      <c r="I25" s="19"/>
      <c r="J25" s="455"/>
      <c r="K25" s="19"/>
      <c r="L25" s="455"/>
      <c r="M25" s="19"/>
      <c r="N25" s="455"/>
    </row>
    <row r="26" spans="2:14" x14ac:dyDescent="0.2">
      <c r="B26" s="227" t="s">
        <v>385</v>
      </c>
      <c r="C26" s="19">
        <f>INPUT!C71</f>
        <v>300000</v>
      </c>
      <c r="D26" s="22"/>
      <c r="E26" s="19">
        <f>INPUT!E71</f>
        <v>547000</v>
      </c>
      <c r="F26" s="455"/>
      <c r="G26" s="19">
        <f>INPUT!G71</f>
        <v>300000</v>
      </c>
      <c r="H26" s="455"/>
      <c r="I26" s="19" t="e">
        <f>INPUT!#REF!</f>
        <v>#REF!</v>
      </c>
      <c r="J26" s="455"/>
      <c r="K26" s="19">
        <f>INPUT!I71</f>
        <v>550000</v>
      </c>
      <c r="L26" s="455"/>
      <c r="M26" s="19" t="e">
        <f>INPUT!#REF!</f>
        <v>#REF!</v>
      </c>
      <c r="N26" s="455"/>
    </row>
    <row r="27" spans="2:14" x14ac:dyDescent="0.2">
      <c r="B27" s="28" t="s">
        <v>60</v>
      </c>
      <c r="C27" s="19">
        <f>INPUT!C80</f>
        <v>0</v>
      </c>
      <c r="D27" s="22"/>
      <c r="E27" s="19">
        <f>INPUT!E80</f>
        <v>0</v>
      </c>
      <c r="F27" s="455"/>
      <c r="G27" s="19">
        <f>INPUT!G80</f>
        <v>0</v>
      </c>
      <c r="H27" s="455"/>
      <c r="I27" s="19" t="e">
        <f>INPUT!#REF!</f>
        <v>#REF!</v>
      </c>
      <c r="J27" s="455"/>
      <c r="K27" s="19">
        <f>INPUT!I80</f>
        <v>0</v>
      </c>
      <c r="L27" s="455"/>
      <c r="M27" s="19" t="e">
        <f>INPUT!#REF!</f>
        <v>#REF!</v>
      </c>
      <c r="N27" s="455"/>
    </row>
    <row r="28" spans="2:14" ht="15" x14ac:dyDescent="0.35">
      <c r="B28" s="227" t="s">
        <v>123</v>
      </c>
      <c r="C28" s="19">
        <f>INPUT!C82</f>
        <v>0</v>
      </c>
      <c r="D28" s="223"/>
      <c r="E28" s="19">
        <f>INPUT!E82</f>
        <v>0</v>
      </c>
      <c r="F28" s="455"/>
      <c r="G28" s="19">
        <f>INPUT!G82</f>
        <v>50000</v>
      </c>
      <c r="H28" s="455"/>
      <c r="I28" s="19" t="e">
        <f>INPUT!#REF!</f>
        <v>#REF!</v>
      </c>
      <c r="J28" s="455"/>
      <c r="K28" s="19">
        <f>INPUT!I82</f>
        <v>100000</v>
      </c>
      <c r="L28" s="455"/>
      <c r="M28" s="19" t="e">
        <f>INPUT!#REF!</f>
        <v>#REF!</v>
      </c>
      <c r="N28" s="455"/>
    </row>
    <row r="29" spans="2:14" x14ac:dyDescent="0.2">
      <c r="B29" s="9" t="s">
        <v>41</v>
      </c>
      <c r="C29" s="19">
        <f>SUM(C26:C28)</f>
        <v>300000</v>
      </c>
      <c r="D29" s="216"/>
      <c r="E29" s="19">
        <f>SUM(E26:E28)</f>
        <v>547000</v>
      </c>
      <c r="F29" s="454">
        <f>(E29-C29)/ABS(C29)</f>
        <v>0.82333333333333336</v>
      </c>
      <c r="G29" s="19">
        <f>SUM(G26:G28)</f>
        <v>350000</v>
      </c>
      <c r="H29" s="454">
        <f>(G29-E29)/ABS(E29)</f>
        <v>-0.36014625228519198</v>
      </c>
      <c r="I29" s="19" t="e">
        <f>SUM(I26:I28)</f>
        <v>#REF!</v>
      </c>
      <c r="J29" s="454" t="e">
        <f>(I29-G29)/ABS(G29)</f>
        <v>#REF!</v>
      </c>
      <c r="K29" s="19">
        <f>SUM(K26:K28)</f>
        <v>650000</v>
      </c>
      <c r="L29" s="454" t="e">
        <f>(K29-I29)/ABS(I29)</f>
        <v>#REF!</v>
      </c>
      <c r="M29" s="19" t="e">
        <f>SUM(M26:M28)</f>
        <v>#REF!</v>
      </c>
      <c r="N29" s="454" t="e">
        <f>(M29-K29)/ABS(K29)</f>
        <v>#REF!</v>
      </c>
    </row>
    <row r="30" spans="2:14" x14ac:dyDescent="0.2">
      <c r="B30" s="10"/>
      <c r="C30" s="19"/>
      <c r="D30" s="214"/>
      <c r="E30" s="19"/>
      <c r="F30" s="456"/>
      <c r="G30" s="19"/>
      <c r="H30" s="456"/>
      <c r="I30" s="19"/>
      <c r="J30" s="456"/>
      <c r="K30" s="19"/>
      <c r="L30" s="456"/>
      <c r="M30" s="19"/>
      <c r="N30" s="456"/>
    </row>
    <row r="31" spans="2:14" x14ac:dyDescent="0.2">
      <c r="B31" s="9" t="s">
        <v>42</v>
      </c>
      <c r="C31" s="19">
        <f>C16+C23+C29</f>
        <v>505400</v>
      </c>
      <c r="E31" s="19">
        <f>E16+E23+E29</f>
        <v>877750</v>
      </c>
      <c r="F31" s="454">
        <f>(E31-C31)/ABS(C31)</f>
        <v>0.73674317372378317</v>
      </c>
      <c r="G31" s="19">
        <f>G16+G23+G29</f>
        <v>769000</v>
      </c>
      <c r="H31" s="454">
        <f>(G31-E31)/ABS(E31)</f>
        <v>-0.12389632583309598</v>
      </c>
      <c r="I31" s="19" t="e">
        <f>I16+I23+I29</f>
        <v>#REF!</v>
      </c>
      <c r="J31" s="454" t="e">
        <f>(I31-G31)/ABS(G31)</f>
        <v>#REF!</v>
      </c>
      <c r="K31" s="19">
        <f>K16+K23+K29</f>
        <v>1178120</v>
      </c>
      <c r="L31" s="454" t="e">
        <f>(K31-I31)/ABS(I31)</f>
        <v>#REF!</v>
      </c>
      <c r="M31" s="19" t="e">
        <f>M16+M23+M29</f>
        <v>#REF!</v>
      </c>
      <c r="N31" s="454" t="e">
        <f>(M31-K31)/ABS(K31)</f>
        <v>#REF!</v>
      </c>
    </row>
    <row r="32" spans="2:14" x14ac:dyDescent="0.2">
      <c r="B32" s="10"/>
      <c r="C32" s="19"/>
      <c r="D32" s="224"/>
      <c r="E32" s="19"/>
      <c r="F32" s="455"/>
      <c r="G32" s="19"/>
      <c r="H32" s="455"/>
      <c r="I32" s="19"/>
      <c r="J32" s="455"/>
      <c r="K32" s="19"/>
      <c r="L32" s="455"/>
      <c r="M32" s="19"/>
      <c r="N32" s="455"/>
    </row>
    <row r="33" spans="2:14" x14ac:dyDescent="0.2">
      <c r="B33" s="9" t="s">
        <v>43</v>
      </c>
      <c r="C33" s="19"/>
      <c r="E33" s="19"/>
      <c r="F33" s="450"/>
      <c r="G33" s="19"/>
      <c r="H33" s="450"/>
      <c r="I33" s="19"/>
      <c r="J33" s="450"/>
      <c r="K33" s="19"/>
      <c r="L33" s="450"/>
      <c r="M33" s="19"/>
      <c r="N33" s="450"/>
    </row>
    <row r="34" spans="2:14" x14ac:dyDescent="0.2">
      <c r="B34" s="10" t="s">
        <v>44</v>
      </c>
      <c r="C34" s="19">
        <f>INPUT!C87</f>
        <v>225000</v>
      </c>
      <c r="D34" s="216"/>
      <c r="E34" s="19">
        <f>INPUT!E87</f>
        <v>325000</v>
      </c>
      <c r="F34" s="457"/>
      <c r="G34" s="19">
        <f>INPUT!G87</f>
        <v>400000</v>
      </c>
      <c r="H34" s="457"/>
      <c r="I34" s="19" t="e">
        <f>INPUT!#REF!</f>
        <v>#REF!</v>
      </c>
      <c r="J34" s="457"/>
      <c r="K34" s="19">
        <f>INPUT!I87</f>
        <v>575000</v>
      </c>
      <c r="L34" s="457"/>
      <c r="M34" s="19" t="e">
        <f>INPUT!#REF!</f>
        <v>#REF!</v>
      </c>
      <c r="N34" s="457"/>
    </row>
    <row r="35" spans="2:14" ht="15" x14ac:dyDescent="0.35">
      <c r="B35" s="10" t="s">
        <v>45</v>
      </c>
      <c r="C35" s="19">
        <f>INPUT!C88</f>
        <v>75000</v>
      </c>
      <c r="D35" s="225"/>
      <c r="E35" s="19">
        <f>INPUT!E88</f>
        <v>100000</v>
      </c>
      <c r="F35" s="450"/>
      <c r="G35" s="19">
        <f>INPUT!G88</f>
        <v>150000</v>
      </c>
      <c r="H35" s="450"/>
      <c r="I35" s="19" t="e">
        <f>INPUT!#REF!</f>
        <v>#REF!</v>
      </c>
      <c r="J35" s="450"/>
      <c r="K35" s="19">
        <f>INPUT!I88</f>
        <v>155000</v>
      </c>
      <c r="L35" s="450"/>
      <c r="M35" s="19" t="e">
        <f>INPUT!#REF!</f>
        <v>#REF!</v>
      </c>
      <c r="N35" s="450"/>
    </row>
    <row r="36" spans="2:14" x14ac:dyDescent="0.2">
      <c r="B36" s="10" t="s">
        <v>322</v>
      </c>
      <c r="C36" s="19">
        <f>INPUT!C89</f>
        <v>0</v>
      </c>
      <c r="D36" s="22"/>
      <c r="E36" s="19">
        <f>INPUT!E89</f>
        <v>0</v>
      </c>
      <c r="F36" s="458"/>
      <c r="G36" s="19">
        <f>INPUT!G89</f>
        <v>0</v>
      </c>
      <c r="H36" s="458"/>
      <c r="I36" s="19" t="e">
        <f>INPUT!#REF!</f>
        <v>#REF!</v>
      </c>
      <c r="J36" s="458"/>
      <c r="K36" s="19">
        <f>INPUT!I89</f>
        <v>0</v>
      </c>
      <c r="L36" s="458"/>
      <c r="M36" s="19" t="e">
        <f>INPUT!#REF!</f>
        <v>#REF!</v>
      </c>
      <c r="N36" s="458"/>
    </row>
    <row r="37" spans="2:14" x14ac:dyDescent="0.2">
      <c r="B37" s="10" t="s">
        <v>46</v>
      </c>
      <c r="C37" s="19">
        <f>INPUT!C92</f>
        <v>7500</v>
      </c>
      <c r="E37" s="19">
        <f>INPUT!E92</f>
        <v>8750</v>
      </c>
      <c r="F37" s="459"/>
      <c r="G37" s="19">
        <f>INPUT!G92</f>
        <v>10000</v>
      </c>
      <c r="H37" s="459"/>
      <c r="I37" s="19" t="e">
        <f>INPUT!#REF!</f>
        <v>#REF!</v>
      </c>
      <c r="J37" s="459"/>
      <c r="K37" s="19">
        <f>INPUT!I92</f>
        <v>10020</v>
      </c>
      <c r="L37" s="459"/>
      <c r="M37" s="19" t="e">
        <f>INPUT!#REF!</f>
        <v>#REF!</v>
      </c>
      <c r="N37" s="459"/>
    </row>
    <row r="38" spans="2:14" x14ac:dyDescent="0.2">
      <c r="B38" s="10" t="s">
        <v>517</v>
      </c>
      <c r="C38" s="19">
        <f>INPUT!C93</f>
        <v>160000</v>
      </c>
      <c r="E38" s="19">
        <f>INPUT!E93</f>
        <v>180000</v>
      </c>
      <c r="F38" s="459"/>
      <c r="G38" s="19">
        <f>INPUT!G93</f>
        <v>300000</v>
      </c>
      <c r="H38" s="459"/>
      <c r="I38" s="19" t="e">
        <f>INPUT!#REF!</f>
        <v>#REF!</v>
      </c>
      <c r="J38" s="459"/>
      <c r="K38" s="19">
        <f>INPUT!I93</f>
        <v>385350</v>
      </c>
      <c r="L38" s="459"/>
      <c r="M38" s="19" t="e">
        <f>INPUT!#REF!</f>
        <v>#REF!</v>
      </c>
      <c r="N38" s="459"/>
    </row>
    <row r="39" spans="2:14" ht="15" x14ac:dyDescent="0.35">
      <c r="B39" s="10" t="s">
        <v>47</v>
      </c>
      <c r="C39" s="229">
        <f>INPUT!C94</f>
        <v>0</v>
      </c>
      <c r="D39" s="230"/>
      <c r="E39" s="229">
        <f>INPUT!E94</f>
        <v>0</v>
      </c>
      <c r="F39" s="460"/>
      <c r="G39" s="229">
        <f>INPUT!G94</f>
        <v>0</v>
      </c>
      <c r="H39" s="460"/>
      <c r="I39" s="229" t="e">
        <f>INPUT!#REF!</f>
        <v>#REF!</v>
      </c>
      <c r="J39" s="460"/>
      <c r="K39" s="229">
        <f>INPUT!I94</f>
        <v>0</v>
      </c>
      <c r="L39" s="460"/>
      <c r="M39" s="229" t="e">
        <f>INPUT!#REF!</f>
        <v>#REF!</v>
      </c>
      <c r="N39" s="460"/>
    </row>
    <row r="40" spans="2:14" x14ac:dyDescent="0.2">
      <c r="B40" s="9" t="s">
        <v>43</v>
      </c>
      <c r="C40" s="19">
        <f>SUM(C34:C39)</f>
        <v>467500</v>
      </c>
      <c r="D40" s="216"/>
      <c r="E40" s="19">
        <f>SUM(E34:E39)</f>
        <v>613750</v>
      </c>
      <c r="F40" s="460">
        <f t="shared" ref="F40:H42" si="0">(E40-C40)/ABS(C40)</f>
        <v>0.31283422459893045</v>
      </c>
      <c r="G40" s="19">
        <f>SUM(G34:G39)</f>
        <v>860000</v>
      </c>
      <c r="H40" s="460">
        <f t="shared" si="0"/>
        <v>0.40122199592668023</v>
      </c>
      <c r="I40" s="19" t="e">
        <f>SUM(I34:I39)</f>
        <v>#REF!</v>
      </c>
      <c r="J40" s="460" t="e">
        <f>(I40-G40)/ABS(G40)</f>
        <v>#REF!</v>
      </c>
      <c r="K40" s="19">
        <f>SUM(K34:K39)</f>
        <v>1125370</v>
      </c>
      <c r="L40" s="460" t="e">
        <f>(K40-I40)/ABS(I40)</f>
        <v>#REF!</v>
      </c>
      <c r="M40" s="19" t="e">
        <f>SUM(M34:M39)</f>
        <v>#REF!</v>
      </c>
      <c r="N40" s="460" t="e">
        <f>(M40-K40)/ABS(K40)</f>
        <v>#REF!</v>
      </c>
    </row>
    <row r="41" spans="2:14" ht="15" x14ac:dyDescent="0.35">
      <c r="B41" s="10"/>
      <c r="C41" s="19"/>
      <c r="E41" s="19"/>
      <c r="F41" s="453"/>
      <c r="G41" s="19"/>
      <c r="H41" s="453"/>
      <c r="I41" s="19"/>
      <c r="J41" s="453"/>
      <c r="K41" s="19"/>
      <c r="L41" s="453"/>
      <c r="M41" s="19"/>
      <c r="N41" s="453"/>
    </row>
    <row r="42" spans="2:14" x14ac:dyDescent="0.2">
      <c r="B42" s="9" t="s">
        <v>50</v>
      </c>
      <c r="C42" s="19">
        <f>C31-C40</f>
        <v>37900</v>
      </c>
      <c r="E42" s="19">
        <f>E31-E40</f>
        <v>264000</v>
      </c>
      <c r="F42" s="454">
        <f t="shared" si="0"/>
        <v>5.9656992084432714</v>
      </c>
      <c r="G42" s="19">
        <f>G31-G40</f>
        <v>-91000</v>
      </c>
      <c r="H42" s="454">
        <f t="shared" si="0"/>
        <v>-1.3446969696969697</v>
      </c>
      <c r="I42" s="19" t="e">
        <f>I31-I40</f>
        <v>#REF!</v>
      </c>
      <c r="J42" s="454" t="e">
        <f>(I42-G42)/ABS(G42)</f>
        <v>#REF!</v>
      </c>
      <c r="K42" s="19">
        <f>K31-K40</f>
        <v>52750</v>
      </c>
      <c r="L42" s="454" t="e">
        <f>(K42-I42)/ABS(I42)</f>
        <v>#REF!</v>
      </c>
      <c r="M42" s="19" t="e">
        <f>M31-M40</f>
        <v>#REF!</v>
      </c>
      <c r="N42" s="454" t="e">
        <f>(M42-K42)/ABS(K42)</f>
        <v>#REF!</v>
      </c>
    </row>
    <row r="43" spans="2:14" ht="15" x14ac:dyDescent="0.35">
      <c r="B43" s="9"/>
      <c r="C43" s="22"/>
      <c r="D43" s="212"/>
      <c r="E43" s="22"/>
      <c r="F43" s="450"/>
      <c r="G43" s="22"/>
      <c r="H43" s="450"/>
      <c r="I43" s="22"/>
      <c r="J43" s="450"/>
      <c r="K43" s="22"/>
      <c r="L43" s="450"/>
      <c r="M43" s="22"/>
      <c r="N43" s="450"/>
    </row>
    <row r="44" spans="2:14" x14ac:dyDescent="0.2">
      <c r="B44" s="9" t="s">
        <v>312</v>
      </c>
      <c r="F44" s="450"/>
      <c r="H44" s="450"/>
      <c r="J44" s="450"/>
      <c r="L44" s="450"/>
      <c r="N44" s="450"/>
    </row>
    <row r="45" spans="2:14" ht="15" x14ac:dyDescent="0.35">
      <c r="B45" s="10" t="s">
        <v>564</v>
      </c>
      <c r="C45" s="212">
        <f>INPUT!C75</f>
        <v>0</v>
      </c>
      <c r="E45" s="212">
        <f>INPUT!E75</f>
        <v>0</v>
      </c>
      <c r="F45" s="454"/>
      <c r="G45" s="212">
        <f>INPUT!G75</f>
        <v>0</v>
      </c>
      <c r="H45" s="454"/>
      <c r="I45" s="212" t="e">
        <f>INPUT!#REF!</f>
        <v>#REF!</v>
      </c>
      <c r="J45" s="454"/>
      <c r="K45" s="212">
        <f>INPUT!I75</f>
        <v>0</v>
      </c>
      <c r="L45" s="454"/>
      <c r="M45" s="212" t="e">
        <f>INPUT!#REF!</f>
        <v>#REF!</v>
      </c>
      <c r="N45" s="454"/>
    </row>
    <row r="46" spans="2:14" x14ac:dyDescent="0.2">
      <c r="B46" s="9" t="s">
        <v>51</v>
      </c>
      <c r="C46" s="19">
        <f>C42+C45</f>
        <v>37900</v>
      </c>
      <c r="D46" s="22"/>
      <c r="E46" s="19">
        <f>E42+E45</f>
        <v>264000</v>
      </c>
      <c r="F46" s="454">
        <f>(E46-C46)/ABS(C46)</f>
        <v>5.9656992084432714</v>
      </c>
      <c r="G46" s="19">
        <f>G42+G45</f>
        <v>-91000</v>
      </c>
      <c r="H46" s="454">
        <f>(G46-E46)/ABS(E46)</f>
        <v>-1.3446969696969697</v>
      </c>
      <c r="I46" s="19" t="e">
        <f>I42+I45</f>
        <v>#REF!</v>
      </c>
      <c r="J46" s="454" t="e">
        <f>(I46-G46)/ABS(G46)</f>
        <v>#REF!</v>
      </c>
      <c r="K46" s="19">
        <f>K42+K45</f>
        <v>52750</v>
      </c>
      <c r="L46" s="454" t="e">
        <f>(K46-I46)/ABS(I46)</f>
        <v>#REF!</v>
      </c>
      <c r="M46" s="19" t="e">
        <f>M42+M45</f>
        <v>#REF!</v>
      </c>
      <c r="N46" s="454" t="e">
        <f>(M46-K46)/ABS(K46)</f>
        <v>#REF!</v>
      </c>
    </row>
    <row r="47" spans="2:14" x14ac:dyDescent="0.2">
      <c r="B47" s="10"/>
      <c r="C47" s="19"/>
      <c r="E47" s="19"/>
      <c r="F47" s="454"/>
      <c r="G47" s="19"/>
      <c r="H47" s="454"/>
      <c r="I47" s="19"/>
      <c r="J47" s="454"/>
      <c r="K47" s="19"/>
      <c r="L47" s="454"/>
      <c r="M47" s="19"/>
      <c r="N47" s="454"/>
    </row>
    <row r="48" spans="2:14" x14ac:dyDescent="0.2">
      <c r="B48" s="9" t="s">
        <v>52</v>
      </c>
      <c r="C48" s="19"/>
      <c r="D48" s="214"/>
      <c r="E48" s="19"/>
      <c r="F48" s="454"/>
      <c r="G48" s="19"/>
      <c r="H48" s="454"/>
      <c r="I48" s="19"/>
      <c r="J48" s="454"/>
      <c r="K48" s="19"/>
      <c r="L48" s="454"/>
      <c r="M48" s="19"/>
      <c r="N48" s="454"/>
    </row>
    <row r="49" spans="2:14" ht="15" x14ac:dyDescent="0.35">
      <c r="B49" s="10" t="s">
        <v>61</v>
      </c>
      <c r="C49" s="19">
        <f>INPUT!C104+INPUT!C105</f>
        <v>0</v>
      </c>
      <c r="D49" s="22"/>
      <c r="E49" s="19">
        <f>INPUT!E104+INPUT!E105</f>
        <v>100000</v>
      </c>
      <c r="F49" s="453"/>
      <c r="G49" s="19">
        <f>INPUT!G104+INPUT!G105</f>
        <v>250000</v>
      </c>
      <c r="H49" s="453"/>
      <c r="I49" s="19" t="e">
        <f>INPUT!#REF!+INPUT!#REF!</f>
        <v>#REF!</v>
      </c>
      <c r="J49" s="453"/>
      <c r="K49" s="19">
        <f>INPUT!I104+INPUT!I105</f>
        <v>50000</v>
      </c>
      <c r="L49" s="453"/>
      <c r="M49" s="19" t="e">
        <f>INPUT!#REF!+INPUT!#REF!</f>
        <v>#REF!</v>
      </c>
      <c r="N49" s="453"/>
    </row>
    <row r="50" spans="2:14" x14ac:dyDescent="0.2">
      <c r="B50" s="10" t="s">
        <v>380</v>
      </c>
      <c r="C50" s="19">
        <f>INPUT!C106</f>
        <v>0</v>
      </c>
      <c r="D50" s="22"/>
      <c r="E50" s="19">
        <f>INPUT!E106</f>
        <v>0</v>
      </c>
      <c r="F50" s="454"/>
      <c r="G50" s="19">
        <f>INPUT!G106</f>
        <v>0</v>
      </c>
      <c r="H50" s="454"/>
      <c r="I50" s="19" t="e">
        <f>INPUT!#REF!</f>
        <v>#REF!</v>
      </c>
      <c r="J50" s="454"/>
      <c r="K50" s="19">
        <f>INPUT!I106</f>
        <v>0</v>
      </c>
      <c r="L50" s="454"/>
      <c r="M50" s="19" t="e">
        <f>INPUT!#REF!</f>
        <v>#REF!</v>
      </c>
      <c r="N50" s="454"/>
    </row>
    <row r="51" spans="2:14" x14ac:dyDescent="0.2">
      <c r="B51" s="10" t="s">
        <v>313</v>
      </c>
      <c r="C51" s="19">
        <f>INPUT!C107</f>
        <v>0</v>
      </c>
      <c r="D51" s="215"/>
      <c r="E51" s="19">
        <f>INPUT!E107</f>
        <v>0</v>
      </c>
      <c r="F51" s="450"/>
      <c r="G51" s="19">
        <f>INPUT!G107</f>
        <v>0</v>
      </c>
      <c r="H51" s="450"/>
      <c r="I51" s="19" t="e">
        <f>INPUT!#REF!</f>
        <v>#REF!</v>
      </c>
      <c r="J51" s="450"/>
      <c r="K51" s="19">
        <f>INPUT!I107</f>
        <v>0</v>
      </c>
      <c r="L51" s="450"/>
      <c r="M51" s="19" t="e">
        <f>INPUT!#REF!</f>
        <v>#REF!</v>
      </c>
      <c r="N51" s="450"/>
    </row>
    <row r="52" spans="2:14" ht="15" x14ac:dyDescent="0.35">
      <c r="B52" s="10" t="s">
        <v>65</v>
      </c>
      <c r="C52" s="212">
        <f>-INPUT!C82</f>
        <v>0</v>
      </c>
      <c r="D52" s="212"/>
      <c r="E52" s="212">
        <f>-INPUT!E82</f>
        <v>0</v>
      </c>
      <c r="F52" s="454"/>
      <c r="G52" s="212">
        <f>-INPUT!G82</f>
        <v>-50000</v>
      </c>
      <c r="H52" s="454"/>
      <c r="I52" s="212" t="e">
        <f>-INPUT!#REF!</f>
        <v>#REF!</v>
      </c>
      <c r="J52" s="454"/>
      <c r="K52" s="212">
        <f>-INPUT!I82</f>
        <v>-100000</v>
      </c>
      <c r="L52" s="454"/>
      <c r="M52" s="212" t="e">
        <f>-INPUT!#REF!</f>
        <v>#REF!</v>
      </c>
      <c r="N52" s="454"/>
    </row>
    <row r="53" spans="2:14" x14ac:dyDescent="0.2">
      <c r="B53" s="9" t="s">
        <v>53</v>
      </c>
      <c r="C53" s="19">
        <f>SUM(C49:C52)</f>
        <v>0</v>
      </c>
      <c r="D53" s="216"/>
      <c r="E53" s="19">
        <f>SUM(E49:E52)</f>
        <v>100000</v>
      </c>
      <c r="F53" s="454" t="e">
        <f>(E53-C53)/ABS(C53)</f>
        <v>#DIV/0!</v>
      </c>
      <c r="G53" s="19">
        <f>SUM(G49:G52)</f>
        <v>200000</v>
      </c>
      <c r="H53" s="454">
        <f>(G53-E53)/ABS(E53)</f>
        <v>1</v>
      </c>
      <c r="I53" s="19" t="e">
        <f>SUM(I49:I52)</f>
        <v>#REF!</v>
      </c>
      <c r="J53" s="454" t="e">
        <f>(I53-G53)/ABS(G53)</f>
        <v>#REF!</v>
      </c>
      <c r="K53" s="19">
        <f>SUM(K49:K52)</f>
        <v>-50000</v>
      </c>
      <c r="L53" s="454" t="e">
        <f>(K53-I53)/ABS(I53)</f>
        <v>#REF!</v>
      </c>
      <c r="M53" s="19" t="e">
        <f>SUM(M49:M52)</f>
        <v>#REF!</v>
      </c>
      <c r="N53" s="454" t="e">
        <f>(M53-K53)/ABS(K53)</f>
        <v>#REF!</v>
      </c>
    </row>
    <row r="54" spans="2:14" x14ac:dyDescent="0.2">
      <c r="B54" s="10"/>
      <c r="D54" s="217"/>
      <c r="F54" s="457"/>
      <c r="H54" s="457"/>
      <c r="J54" s="457"/>
      <c r="L54" s="457"/>
      <c r="N54" s="457"/>
    </row>
    <row r="55" spans="2:14" x14ac:dyDescent="0.2">
      <c r="B55" s="9" t="s">
        <v>54</v>
      </c>
      <c r="F55" s="454"/>
      <c r="H55" s="454"/>
      <c r="J55" s="454"/>
      <c r="L55" s="454"/>
      <c r="N55" s="454"/>
    </row>
    <row r="56" spans="2:14" ht="15" x14ac:dyDescent="0.35">
      <c r="B56" s="10" t="s">
        <v>55</v>
      </c>
      <c r="C56" s="212">
        <f>INPUT!C112</f>
        <v>0</v>
      </c>
      <c r="D56" s="213"/>
      <c r="E56" s="212">
        <f>INPUT!E112</f>
        <v>0</v>
      </c>
      <c r="F56" s="454"/>
      <c r="G56" s="212">
        <f>INPUT!G112</f>
        <v>0</v>
      </c>
      <c r="H56" s="454"/>
      <c r="I56" s="212" t="e">
        <f>INPUT!#REF!</f>
        <v>#REF!</v>
      </c>
      <c r="J56" s="454"/>
      <c r="K56" s="212">
        <f>INPUT!I112</f>
        <v>0</v>
      </c>
      <c r="L56" s="454"/>
      <c r="M56" s="212" t="e">
        <f>INPUT!#REF!</f>
        <v>#REF!</v>
      </c>
      <c r="N56" s="454"/>
    </row>
    <row r="57" spans="2:14" x14ac:dyDescent="0.2">
      <c r="B57" s="9" t="s">
        <v>54</v>
      </c>
      <c r="C57" s="19">
        <f>C56</f>
        <v>0</v>
      </c>
      <c r="D57" s="213"/>
      <c r="E57" s="19">
        <f>E56</f>
        <v>0</v>
      </c>
      <c r="F57" s="454"/>
      <c r="G57" s="19">
        <f>G56</f>
        <v>0</v>
      </c>
      <c r="H57" s="454"/>
      <c r="I57" s="19" t="e">
        <f>I56</f>
        <v>#REF!</v>
      </c>
      <c r="J57" s="454"/>
      <c r="K57" s="19">
        <f>K56</f>
        <v>0</v>
      </c>
      <c r="L57" s="454"/>
      <c r="M57" s="19" t="e">
        <f>M56</f>
        <v>#REF!</v>
      </c>
      <c r="N57" s="454"/>
    </row>
    <row r="58" spans="2:14" x14ac:dyDescent="0.2">
      <c r="B58" s="10"/>
      <c r="D58" s="213"/>
      <c r="F58" s="454"/>
      <c r="H58" s="454"/>
      <c r="J58" s="454"/>
      <c r="L58" s="454"/>
      <c r="N58" s="454"/>
    </row>
    <row r="59" spans="2:14" ht="13.5" thickBot="1" x14ac:dyDescent="0.25">
      <c r="B59" s="9" t="s">
        <v>56</v>
      </c>
      <c r="C59" s="465">
        <f>C46+C53+C56</f>
        <v>37900</v>
      </c>
      <c r="D59" s="218"/>
      <c r="E59" s="465">
        <f>E46+E53+E56</f>
        <v>364000</v>
      </c>
      <c r="F59" s="454">
        <f>(E59-C59)/ABS(C59)</f>
        <v>8.6042216358839045</v>
      </c>
      <c r="G59" s="465">
        <f>G46+G53+G56</f>
        <v>109000</v>
      </c>
      <c r="H59" s="454">
        <f>(G59-E59)/ABS(E59)</f>
        <v>-0.7005494505494505</v>
      </c>
      <c r="I59" s="465" t="e">
        <f>I46+I53+I56</f>
        <v>#REF!</v>
      </c>
      <c r="J59" s="454" t="e">
        <f>(I59-G59)/ABS(G59)</f>
        <v>#REF!</v>
      </c>
      <c r="K59" s="465">
        <f>K46+K53+K56</f>
        <v>2750</v>
      </c>
      <c r="L59" s="454" t="e">
        <f>(K59-I59)/ABS(I59)</f>
        <v>#REF!</v>
      </c>
      <c r="M59" s="465" t="e">
        <f>M46+M53+M56</f>
        <v>#REF!</v>
      </c>
      <c r="N59" s="454" t="e">
        <f>(M59-K59)/ABS(K59)</f>
        <v>#REF!</v>
      </c>
    </row>
    <row r="60" spans="2:14" ht="13.5" thickTop="1" x14ac:dyDescent="0.2">
      <c r="B60" s="9"/>
      <c r="D60" s="213"/>
      <c r="F60" s="272"/>
      <c r="H60" s="272"/>
      <c r="J60" s="272"/>
      <c r="L60" s="272"/>
      <c r="N60" s="272"/>
    </row>
    <row r="61" spans="2:14" x14ac:dyDescent="0.2">
      <c r="B61" s="4"/>
      <c r="D61" s="213"/>
      <c r="F61" s="272"/>
      <c r="H61" s="272"/>
      <c r="J61" s="272"/>
      <c r="L61" s="272"/>
      <c r="N61" s="272"/>
    </row>
    <row r="62" spans="2:14" x14ac:dyDescent="0.2">
      <c r="B62" s="1" t="s">
        <v>57</v>
      </c>
      <c r="F62" s="272"/>
      <c r="H62" s="272"/>
      <c r="J62" s="272"/>
      <c r="L62" s="272"/>
      <c r="N62" s="272"/>
    </row>
    <row r="63" spans="2:14" x14ac:dyDescent="0.2">
      <c r="B63" s="4" t="s">
        <v>423</v>
      </c>
      <c r="C63" s="19">
        <f>INPUT!C120</f>
        <v>217619</v>
      </c>
      <c r="D63" s="214"/>
      <c r="E63" s="19">
        <f>INPUT!E120</f>
        <v>1968000</v>
      </c>
      <c r="F63" s="272"/>
      <c r="G63" s="19">
        <f>INPUT!G120</f>
        <v>2332000</v>
      </c>
      <c r="H63" s="272"/>
      <c r="I63" s="19" t="e">
        <f>INPUT!#REF!</f>
        <v>#REF!</v>
      </c>
      <c r="J63" s="272"/>
      <c r="K63" s="19">
        <f>INPUT!I120</f>
        <v>2441000</v>
      </c>
      <c r="L63" s="272"/>
      <c r="M63" s="19" t="e">
        <f>INPUT!#REF!</f>
        <v>#REF!</v>
      </c>
      <c r="N63" s="272"/>
    </row>
    <row r="64" spans="2:14" x14ac:dyDescent="0.2">
      <c r="B64" s="4" t="s">
        <v>58</v>
      </c>
      <c r="C64" s="19">
        <f>C63+C59</f>
        <v>255519</v>
      </c>
      <c r="E64" s="19">
        <f>E63+E59</f>
        <v>2332000</v>
      </c>
      <c r="F64" s="313"/>
      <c r="G64" s="19">
        <f>G63+G59</f>
        <v>2441000</v>
      </c>
      <c r="H64" s="313"/>
      <c r="I64" s="19" t="e">
        <f>I63+I59</f>
        <v>#REF!</v>
      </c>
      <c r="J64" s="313"/>
      <c r="K64" s="19">
        <f>K63+K59</f>
        <v>2443750</v>
      </c>
      <c r="L64" s="313"/>
      <c r="M64" s="19" t="e">
        <f>M63+M59</f>
        <v>#REF!</v>
      </c>
      <c r="N64" s="313"/>
    </row>
    <row r="66" spans="1:14" x14ac:dyDescent="0.2">
      <c r="B66" s="1" t="s">
        <v>337</v>
      </c>
      <c r="D66" s="213"/>
      <c r="F66" s="300"/>
      <c r="H66" s="300"/>
      <c r="J66" s="300"/>
      <c r="L66" s="300"/>
      <c r="N66" s="300"/>
    </row>
    <row r="67" spans="1:14" x14ac:dyDescent="0.2">
      <c r="B67" s="770"/>
      <c r="C67" s="770"/>
      <c r="D67" s="770"/>
      <c r="E67" s="770"/>
      <c r="F67" s="770"/>
      <c r="G67" s="770"/>
      <c r="H67" s="770"/>
      <c r="I67" s="770"/>
      <c r="J67" s="770"/>
      <c r="K67" s="770"/>
      <c r="L67" s="770"/>
      <c r="M67" s="770"/>
      <c r="N67" s="770"/>
    </row>
    <row r="68" spans="1:14" x14ac:dyDescent="0.2">
      <c r="B68" s="770"/>
      <c r="C68" s="770"/>
      <c r="D68" s="770"/>
      <c r="E68" s="770"/>
      <c r="F68" s="770"/>
      <c r="G68" s="770"/>
      <c r="H68" s="770"/>
      <c r="I68" s="770"/>
      <c r="J68" s="770"/>
      <c r="K68" s="770"/>
      <c r="L68" s="770"/>
      <c r="M68" s="770"/>
      <c r="N68" s="770"/>
    </row>
    <row r="69" spans="1:14" x14ac:dyDescent="0.2">
      <c r="B69" s="770"/>
      <c r="C69" s="770"/>
      <c r="D69" s="770"/>
      <c r="E69" s="770"/>
      <c r="F69" s="770"/>
      <c r="G69" s="770"/>
      <c r="H69" s="770"/>
      <c r="I69" s="770"/>
      <c r="J69" s="770"/>
      <c r="K69" s="770"/>
      <c r="L69" s="770"/>
      <c r="M69" s="770"/>
      <c r="N69" s="770"/>
    </row>
    <row r="70" spans="1:14" ht="14.25" customHeight="1" x14ac:dyDescent="0.2">
      <c r="B70" s="771"/>
      <c r="C70" s="771"/>
      <c r="D70" s="771"/>
      <c r="E70" s="771"/>
      <c r="F70" s="771"/>
      <c r="G70" s="771"/>
      <c r="H70" s="771"/>
      <c r="I70" s="771"/>
      <c r="J70" s="771"/>
      <c r="K70" s="771"/>
      <c r="L70" s="771"/>
      <c r="M70" s="771"/>
      <c r="N70" s="771"/>
    </row>
    <row r="71" spans="1:14" ht="16.5" customHeight="1" x14ac:dyDescent="0.2">
      <c r="B71" s="4"/>
      <c r="C71" s="267"/>
      <c r="D71" s="213"/>
      <c r="E71" s="267"/>
      <c r="F71" s="15"/>
      <c r="G71" s="267"/>
      <c r="H71" s="15"/>
      <c r="I71" s="267"/>
      <c r="J71" s="15"/>
      <c r="K71" s="267"/>
      <c r="L71" s="15"/>
      <c r="M71" s="267"/>
      <c r="N71" s="15"/>
    </row>
    <row r="72" spans="1:14" x14ac:dyDescent="0.2">
      <c r="B72" s="4" t="s">
        <v>63</v>
      </c>
      <c r="C72" s="22">
        <f>C63+C59-'Stmt Position'!C64</f>
        <v>-1712481</v>
      </c>
      <c r="E72" s="22">
        <f>E63+E59-'Stmt Position'!E64</f>
        <v>0</v>
      </c>
      <c r="F72" s="272"/>
      <c r="G72" s="22">
        <f>G63+G59-'Stmt Position'!G64</f>
        <v>0</v>
      </c>
      <c r="H72" s="272"/>
      <c r="I72" s="22" t="e">
        <f>I63+I59-'Stmt Position'!#REF!</f>
        <v>#REF!</v>
      </c>
      <c r="J72" s="272"/>
      <c r="K72" s="22">
        <f>K63+K59-'Stmt Position'!I64</f>
        <v>0</v>
      </c>
      <c r="L72" s="272"/>
      <c r="M72" s="22" t="e">
        <f>M63+M59-'Stmt Position'!K64</f>
        <v>#REF!</v>
      </c>
      <c r="N72" s="272"/>
    </row>
    <row r="73" spans="1:14" ht="14.25" customHeight="1" x14ac:dyDescent="0.2">
      <c r="B73" s="4"/>
      <c r="C73" s="267"/>
      <c r="D73" s="213"/>
      <c r="E73" s="267"/>
      <c r="F73" s="15"/>
      <c r="G73" s="267"/>
      <c r="H73" s="15"/>
      <c r="I73" s="267"/>
      <c r="J73" s="15"/>
      <c r="K73" s="267"/>
      <c r="L73" s="15"/>
      <c r="M73" s="267"/>
      <c r="N73" s="15"/>
    </row>
    <row r="74" spans="1:14" x14ac:dyDescent="0.2">
      <c r="A74" s="1" t="s">
        <v>86</v>
      </c>
      <c r="F74" s="313"/>
      <c r="H74" s="313"/>
      <c r="J74" s="313"/>
      <c r="L74" s="313"/>
      <c r="N74" s="313"/>
    </row>
    <row r="75" spans="1:14" x14ac:dyDescent="0.2">
      <c r="B75" s="328"/>
      <c r="D75" s="214"/>
      <c r="F75" s="315"/>
      <c r="H75" s="315"/>
      <c r="J75" s="315"/>
      <c r="L75" s="315"/>
      <c r="N75" s="315"/>
    </row>
    <row r="76" spans="1:14" x14ac:dyDescent="0.2">
      <c r="B76" s="25"/>
      <c r="F76" s="313"/>
      <c r="H76" s="313"/>
      <c r="J76" s="313"/>
      <c r="L76" s="313"/>
      <c r="N76" s="313"/>
    </row>
    <row r="77" spans="1:14" x14ac:dyDescent="0.2">
      <c r="F77" s="313"/>
      <c r="H77" s="313"/>
      <c r="J77" s="313"/>
      <c r="L77" s="313"/>
      <c r="N77" s="313"/>
    </row>
    <row r="78" spans="1:14" x14ac:dyDescent="0.2">
      <c r="D78" s="214"/>
      <c r="F78" s="15"/>
      <c r="H78" s="15"/>
      <c r="J78" s="15"/>
      <c r="L78" s="15"/>
      <c r="N78" s="15"/>
    </row>
    <row r="79" spans="1:14" x14ac:dyDescent="0.2">
      <c r="D79" s="214"/>
      <c r="F79" s="15"/>
      <c r="H79" s="15"/>
      <c r="J79" s="15"/>
      <c r="L79" s="15"/>
      <c r="N79" s="15"/>
    </row>
    <row r="80" spans="1:14" x14ac:dyDescent="0.2">
      <c r="D80" s="214"/>
    </row>
    <row r="81" spans="4:14" x14ac:dyDescent="0.2">
      <c r="D81" s="214"/>
      <c r="F81" s="16"/>
      <c r="H81" s="16"/>
      <c r="J81" s="16"/>
      <c r="L81" s="16"/>
      <c r="N81" s="16"/>
    </row>
    <row r="82" spans="4:14" x14ac:dyDescent="0.2">
      <c r="D82" s="214"/>
    </row>
    <row r="83" spans="4:14" x14ac:dyDescent="0.2">
      <c r="D83" s="214"/>
    </row>
    <row r="84" spans="4:14" x14ac:dyDescent="0.2">
      <c r="D84" s="214"/>
      <c r="F84" s="16"/>
      <c r="H84" s="16"/>
      <c r="J84" s="16"/>
      <c r="L84" s="16"/>
      <c r="N84" s="16"/>
    </row>
    <row r="85" spans="4:14" x14ac:dyDescent="0.2">
      <c r="D85" s="214"/>
      <c r="F85" s="16"/>
      <c r="H85" s="16"/>
      <c r="J85" s="16"/>
      <c r="L85" s="16"/>
      <c r="N85" s="16"/>
    </row>
    <row r="86" spans="4:14" x14ac:dyDescent="0.2">
      <c r="D86" s="214"/>
      <c r="F86" s="16"/>
      <c r="H86" s="16"/>
      <c r="J86" s="16"/>
      <c r="L86" s="16"/>
      <c r="N86" s="16"/>
    </row>
    <row r="87" spans="4:14" x14ac:dyDescent="0.2">
      <c r="D87" s="214"/>
      <c r="F87" s="16"/>
      <c r="H87" s="16"/>
      <c r="J87" s="16"/>
      <c r="L87" s="16"/>
      <c r="N87" s="16"/>
    </row>
    <row r="88" spans="4:14" x14ac:dyDescent="0.2">
      <c r="D88" s="214"/>
      <c r="F88" s="16"/>
      <c r="H88" s="16"/>
      <c r="J88" s="16"/>
      <c r="L88" s="16"/>
      <c r="N88" s="16"/>
    </row>
    <row r="89" spans="4:14" x14ac:dyDescent="0.2">
      <c r="D89" s="214"/>
      <c r="F89" s="16"/>
      <c r="H89" s="16"/>
      <c r="J89" s="16"/>
      <c r="L89" s="16"/>
      <c r="N89" s="16"/>
    </row>
    <row r="90" spans="4:14" x14ac:dyDescent="0.2">
      <c r="D90" s="214"/>
      <c r="F90" s="16"/>
      <c r="H90" s="16"/>
      <c r="J90" s="16"/>
      <c r="L90" s="16"/>
      <c r="N90" s="16"/>
    </row>
    <row r="91" spans="4:14" x14ac:dyDescent="0.2">
      <c r="D91" s="226"/>
      <c r="F91" s="16"/>
      <c r="H91" s="16"/>
      <c r="J91" s="16"/>
      <c r="L91" s="16"/>
      <c r="N91" s="16"/>
    </row>
    <row r="92" spans="4:14" x14ac:dyDescent="0.2">
      <c r="F92" s="16"/>
      <c r="H92" s="16"/>
      <c r="J92" s="16"/>
      <c r="L92" s="16"/>
      <c r="N92" s="16"/>
    </row>
    <row r="93" spans="4:14" x14ac:dyDescent="0.2">
      <c r="F93" s="16"/>
      <c r="H93" s="16"/>
      <c r="J93" s="16"/>
      <c r="L93" s="16"/>
      <c r="N93" s="16"/>
    </row>
    <row r="94" spans="4:14" x14ac:dyDescent="0.2">
      <c r="F94" s="16"/>
      <c r="H94" s="16"/>
      <c r="J94" s="16"/>
      <c r="L94" s="16"/>
      <c r="N94" s="16"/>
    </row>
    <row r="95" spans="4:14" x14ac:dyDescent="0.2">
      <c r="F95" s="16"/>
      <c r="H95" s="16"/>
      <c r="J95" s="16"/>
      <c r="L95" s="16"/>
      <c r="N95" s="16"/>
    </row>
    <row r="96" spans="4:14" x14ac:dyDescent="0.2">
      <c r="F96" s="16"/>
      <c r="H96" s="16"/>
      <c r="J96" s="16"/>
      <c r="L96" s="16"/>
      <c r="N96" s="16"/>
    </row>
    <row r="97" spans="6:14" x14ac:dyDescent="0.2">
      <c r="F97" s="17"/>
      <c r="H97" s="17"/>
      <c r="J97" s="17"/>
      <c r="L97" s="17"/>
      <c r="N97" s="17"/>
    </row>
  </sheetData>
  <mergeCells count="4">
    <mergeCell ref="B67:N67"/>
    <mergeCell ref="B68:N68"/>
    <mergeCell ref="B69:N69"/>
    <mergeCell ref="B70:N70"/>
  </mergeCells>
  <phoneticPr fontId="3" type="noConversion"/>
  <pageMargins left="0.42" right="0.47" top="0.5" bottom="0.5" header="0.5" footer="0.5"/>
  <pageSetup scale="71" orientation="portrait" horizontalDpi="360" verticalDpi="36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2"/>
  <sheetViews>
    <sheetView zoomScaleNormal="100" workbookViewId="0">
      <selection activeCell="V22" sqref="V22"/>
    </sheetView>
  </sheetViews>
  <sheetFormatPr defaultColWidth="10.6640625" defaultRowHeight="12.75" x14ac:dyDescent="0.2"/>
  <cols>
    <col min="1" max="1" width="3.5" style="139" customWidth="1"/>
    <col min="2" max="2" width="50.33203125" style="184" customWidth="1"/>
    <col min="3" max="3" width="16.83203125" style="139" customWidth="1"/>
    <col min="4" max="4" width="2" style="139" customWidth="1"/>
    <col min="5" max="5" width="16.83203125" style="139" customWidth="1"/>
    <col min="6" max="6" width="2" style="139" customWidth="1"/>
    <col min="7" max="7" width="16.83203125" style="139" customWidth="1"/>
    <col min="8" max="8" width="2" style="139" hidden="1" customWidth="1"/>
    <col min="9" max="9" width="16.83203125" style="139" hidden="1" customWidth="1"/>
    <col min="10" max="10" width="2" style="139" hidden="1" customWidth="1"/>
    <col min="11" max="11" width="16.83203125" style="139" hidden="1" customWidth="1"/>
    <col min="12" max="12" width="2" style="139" customWidth="1"/>
    <col min="13" max="13" width="16.83203125" style="139" customWidth="1"/>
    <col min="14" max="14" width="2" style="139" customWidth="1"/>
    <col min="15" max="15" width="16.83203125" style="139" customWidth="1"/>
    <col min="16" max="16" width="4.33203125" style="139" customWidth="1"/>
    <col min="17" max="17" width="10.6640625" style="140" customWidth="1"/>
    <col min="18" max="18" width="9.83203125" style="273" bestFit="1" customWidth="1"/>
    <col min="19" max="16384" width="10.6640625" style="139"/>
  </cols>
  <sheetData>
    <row r="1" spans="1:18" x14ac:dyDescent="0.2">
      <c r="B1" s="244" t="str">
        <f>INPUT!B2</f>
        <v>SAMPLE</v>
      </c>
      <c r="C1" s="138"/>
      <c r="D1" s="138"/>
      <c r="E1" s="138"/>
      <c r="F1" s="138"/>
      <c r="H1" s="138"/>
      <c r="J1" s="138"/>
      <c r="L1" s="138"/>
      <c r="N1" s="138"/>
    </row>
    <row r="2" spans="1:18" x14ac:dyDescent="0.2">
      <c r="B2" s="245" t="s">
        <v>247</v>
      </c>
      <c r="C2" s="141"/>
      <c r="D2" s="141"/>
      <c r="E2" s="141"/>
      <c r="F2" s="141"/>
      <c r="H2" s="141"/>
      <c r="J2" s="141"/>
      <c r="L2" s="141"/>
      <c r="N2" s="141"/>
    </row>
    <row r="3" spans="1:18" x14ac:dyDescent="0.2">
      <c r="B3" s="185"/>
      <c r="C3" s="143" t="str">
        <f>INPUT!E4</f>
        <v>AUDIT</v>
      </c>
      <c r="D3" s="142"/>
      <c r="E3" s="143" t="str">
        <f>INPUT!G4</f>
        <v>AUDIT</v>
      </c>
      <c r="F3" s="142"/>
      <c r="G3" s="143" t="e">
        <f>INPUT!#REF!</f>
        <v>#REF!</v>
      </c>
      <c r="H3" s="142"/>
      <c r="I3" s="143" t="e">
        <f>INPUT!#REF!</f>
        <v>#REF!</v>
      </c>
      <c r="J3" s="142"/>
      <c r="K3" s="143" t="e">
        <f>INPUT!#REF!</f>
        <v>#REF!</v>
      </c>
      <c r="L3" s="142"/>
      <c r="M3" s="143" t="str">
        <f>INPUT!I4</f>
        <v>INTERIM</v>
      </c>
      <c r="N3" s="142"/>
      <c r="O3" s="143" t="e">
        <f>INPUT!#REF!</f>
        <v>#REF!</v>
      </c>
      <c r="P3" s="143"/>
      <c r="Q3" s="145" t="s">
        <v>226</v>
      </c>
      <c r="R3" s="274" t="s">
        <v>260</v>
      </c>
    </row>
    <row r="4" spans="1:18" x14ac:dyDescent="0.2">
      <c r="B4" s="199"/>
      <c r="C4" s="154">
        <f>INPUT!E5</f>
        <v>41274</v>
      </c>
      <c r="D4" s="153"/>
      <c r="E4" s="154">
        <f>INPUT!G5</f>
        <v>41639</v>
      </c>
      <c r="F4" s="153"/>
      <c r="G4" s="154" t="e">
        <f>INPUT!#REF!</f>
        <v>#REF!</v>
      </c>
      <c r="H4" s="153"/>
      <c r="I4" s="154" t="e">
        <f>INPUT!#REF!</f>
        <v>#REF!</v>
      </c>
      <c r="J4" s="153"/>
      <c r="K4" s="154" t="e">
        <f>INPUT!#REF!</f>
        <v>#REF!</v>
      </c>
      <c r="L4" s="153"/>
      <c r="M4" s="154">
        <f>INPUT!I5</f>
        <v>42004</v>
      </c>
      <c r="N4" s="153"/>
      <c r="O4" s="154" t="e">
        <f>INPUT!#REF!</f>
        <v>#REF!</v>
      </c>
      <c r="P4" s="154"/>
      <c r="Q4" s="180" t="s">
        <v>332</v>
      </c>
      <c r="R4" s="275" t="s">
        <v>261</v>
      </c>
    </row>
    <row r="5" spans="1:18" x14ac:dyDescent="0.2">
      <c r="B5" s="181"/>
      <c r="C5" s="149"/>
      <c r="D5" s="148"/>
      <c r="E5" s="149"/>
      <c r="F5" s="148"/>
      <c r="G5" s="149"/>
      <c r="H5" s="148"/>
      <c r="I5" s="149"/>
      <c r="J5" s="148"/>
      <c r="K5" s="149"/>
      <c r="L5" s="148"/>
      <c r="M5" s="149"/>
      <c r="N5" s="148"/>
      <c r="O5" s="149"/>
      <c r="P5" s="149"/>
      <c r="Q5" s="151"/>
      <c r="R5" s="276"/>
    </row>
    <row r="6" spans="1:18" x14ac:dyDescent="0.2">
      <c r="B6" s="185" t="s">
        <v>153</v>
      </c>
      <c r="C6" s="144"/>
      <c r="D6" s="142"/>
      <c r="E6" s="144"/>
      <c r="F6" s="142"/>
      <c r="G6" s="144"/>
      <c r="H6" s="142"/>
      <c r="I6" s="144"/>
      <c r="J6" s="142"/>
      <c r="K6" s="144"/>
      <c r="L6" s="142"/>
      <c r="M6" s="144"/>
      <c r="N6" s="142"/>
      <c r="O6" s="144"/>
      <c r="P6" s="144"/>
      <c r="Q6" s="186"/>
      <c r="R6" s="277"/>
    </row>
    <row r="7" spans="1:18" x14ac:dyDescent="0.2">
      <c r="A7" s="139">
        <v>1</v>
      </c>
      <c r="B7" s="187" t="s">
        <v>114</v>
      </c>
      <c r="C7" s="236">
        <f>'Stmt Position'!E32</f>
        <v>5777000</v>
      </c>
      <c r="D7" s="237"/>
      <c r="E7" s="236">
        <f>'Stmt Position'!G32</f>
        <v>6656000</v>
      </c>
      <c r="F7" s="237"/>
      <c r="G7" s="236" t="e">
        <f>INPUT!#REF!</f>
        <v>#REF!</v>
      </c>
      <c r="H7" s="237"/>
      <c r="I7" s="236" t="e">
        <f>INPUT!#REF!</f>
        <v>#REF!</v>
      </c>
      <c r="J7" s="237"/>
      <c r="K7" s="236" t="e">
        <f>INPUT!#REF!</f>
        <v>#REF!</v>
      </c>
      <c r="L7" s="237"/>
      <c r="M7" s="236">
        <f>INPUT!I29</f>
        <v>8064750</v>
      </c>
      <c r="N7" s="237"/>
      <c r="O7" s="236" t="e">
        <f>INPUT!#REF!</f>
        <v>#REF!</v>
      </c>
      <c r="P7" s="236"/>
      <c r="Q7" s="174">
        <f>RATE(2005-2003,0,-E7,M7)</f>
        <v>0.10075026315096691</v>
      </c>
      <c r="R7" s="278" t="e">
        <f>(M7-G7)/ABS(G7)</f>
        <v>#REF!</v>
      </c>
    </row>
    <row r="8" spans="1:18" x14ac:dyDescent="0.2">
      <c r="A8" s="139">
        <v>2</v>
      </c>
      <c r="B8" s="189" t="s">
        <v>12</v>
      </c>
      <c r="C8" s="188">
        <f>'Stmt Position'!E64</f>
        <v>2332000</v>
      </c>
      <c r="D8" s="148"/>
      <c r="E8" s="188">
        <f>'Stmt Position'!G64</f>
        <v>2441000</v>
      </c>
      <c r="F8" s="148"/>
      <c r="G8" s="188" t="e">
        <f>INPUT!#REF!</f>
        <v>#REF!</v>
      </c>
      <c r="H8" s="148"/>
      <c r="I8" s="188" t="e">
        <f>INPUT!#REF!</f>
        <v>#REF!</v>
      </c>
      <c r="J8" s="148"/>
      <c r="K8" s="188" t="e">
        <f>INPUT!#REF!</f>
        <v>#REF!</v>
      </c>
      <c r="L8" s="148"/>
      <c r="M8" s="188">
        <f>INPUT!I60</f>
        <v>2443750</v>
      </c>
      <c r="N8" s="148"/>
      <c r="O8" s="188" t="e">
        <f>INPUT!#REF!</f>
        <v>#REF!</v>
      </c>
      <c r="P8" s="188"/>
      <c r="Q8" s="174">
        <f>RATE(2005-2003,0,-E8,M8)</f>
        <v>5.6313517146621306E-4</v>
      </c>
      <c r="R8" s="278" t="e">
        <f>(M8-G8)/ABS(G8)</f>
        <v>#REF!</v>
      </c>
    </row>
    <row r="9" spans="1:18" x14ac:dyDescent="0.2">
      <c r="A9" s="139">
        <v>3</v>
      </c>
      <c r="B9" s="189" t="s">
        <v>285</v>
      </c>
      <c r="C9" s="234">
        <f>INPUT!E146</f>
        <v>800000</v>
      </c>
      <c r="D9" s="235"/>
      <c r="E9" s="234">
        <f>INPUT!G146</f>
        <v>700000</v>
      </c>
      <c r="F9" s="235"/>
      <c r="G9" s="234" t="e">
        <f>INPUT!#REF!</f>
        <v>#REF!</v>
      </c>
      <c r="H9" s="235"/>
      <c r="I9" s="234" t="e">
        <f>INPUT!#REF!</f>
        <v>#REF!</v>
      </c>
      <c r="J9" s="235"/>
      <c r="K9" s="234" t="e">
        <f>INPUT!#REF!</f>
        <v>#REF!</v>
      </c>
      <c r="L9" s="235"/>
      <c r="M9" s="234">
        <f>INPUT!I146</f>
        <v>1000000</v>
      </c>
      <c r="N9" s="235"/>
      <c r="O9" s="234" t="e">
        <f>INPUT!#REF!</f>
        <v>#REF!</v>
      </c>
      <c r="P9" s="234"/>
      <c r="Q9" s="174">
        <f>RATE(2005-2003,0,-E9,M9)</f>
        <v>0.19522860933439365</v>
      </c>
      <c r="R9" s="278" t="e">
        <f>(M9-G9)/ABS(G9)</f>
        <v>#REF!</v>
      </c>
    </row>
    <row r="10" spans="1:18" x14ac:dyDescent="0.2">
      <c r="A10" s="139">
        <v>4</v>
      </c>
      <c r="B10" s="190" t="s">
        <v>14</v>
      </c>
      <c r="C10" s="188">
        <f>'Stmt Position'!E56+'Stmt Position'!E57</f>
        <v>1532000</v>
      </c>
      <c r="D10" s="165"/>
      <c r="E10" s="188">
        <f>'Stmt Position'!G56+'Stmt Position'!G57</f>
        <v>1741000</v>
      </c>
      <c r="F10" s="165"/>
      <c r="G10" s="188" t="e">
        <f>INPUT!#REF!+INPUT!#REF!</f>
        <v>#REF!</v>
      </c>
      <c r="H10" s="165"/>
      <c r="I10" s="188" t="e">
        <f>INPUT!#REF!+INPUT!#REF!</f>
        <v>#REF!</v>
      </c>
      <c r="J10" s="165"/>
      <c r="K10" s="188" t="e">
        <f>INPUT!#REF!+INPUT!#REF!</f>
        <v>#REF!</v>
      </c>
      <c r="L10" s="165"/>
      <c r="M10" s="188">
        <f>INPUT!I52+INPUT!I53</f>
        <v>1443750</v>
      </c>
      <c r="N10" s="165"/>
      <c r="O10" s="188" t="e">
        <f>INPUT!#REF!+INPUT!#REF!</f>
        <v>#REF!</v>
      </c>
      <c r="P10" s="188"/>
      <c r="Q10" s="174">
        <f>RATE(2005-2003,0,-E10,M10)</f>
        <v>-8.9360230195071444E-2</v>
      </c>
      <c r="R10" s="278" t="e">
        <f>(M10-G10)/ABS(G10)</f>
        <v>#REF!</v>
      </c>
    </row>
    <row r="11" spans="1:18" ht="6" customHeight="1" x14ac:dyDescent="0.2">
      <c r="B11" s="191"/>
      <c r="C11" s="150"/>
      <c r="D11" s="148"/>
      <c r="E11" s="150"/>
      <c r="F11" s="148"/>
      <c r="G11" s="150"/>
      <c r="H11" s="148"/>
      <c r="I11" s="150"/>
      <c r="J11" s="148"/>
      <c r="K11" s="150"/>
      <c r="L11" s="148"/>
      <c r="M11" s="150"/>
      <c r="N11" s="148"/>
      <c r="O11" s="150"/>
      <c r="P11" s="150"/>
      <c r="Q11" s="192"/>
      <c r="R11" s="279"/>
    </row>
    <row r="12" spans="1:18" s="158" customFormat="1" x14ac:dyDescent="0.2">
      <c r="A12" s="158">
        <v>5</v>
      </c>
      <c r="B12" s="189" t="s">
        <v>246</v>
      </c>
      <c r="C12" s="177">
        <f>C8/C7</f>
        <v>0.40366972477064222</v>
      </c>
      <c r="D12" s="173"/>
      <c r="E12" s="177">
        <f>E8/E7</f>
        <v>0.36673677884615385</v>
      </c>
      <c r="F12" s="173"/>
      <c r="G12" s="177" t="e">
        <f>G8/G7</f>
        <v>#REF!</v>
      </c>
      <c r="H12" s="173"/>
      <c r="I12" s="177" t="e">
        <f>I8/I7</f>
        <v>#REF!</v>
      </c>
      <c r="J12" s="173"/>
      <c r="K12" s="177" t="e">
        <f>K8/K7</f>
        <v>#REF!</v>
      </c>
      <c r="L12" s="173"/>
      <c r="M12" s="177">
        <f>M8/M7</f>
        <v>0.30301621252983663</v>
      </c>
      <c r="N12" s="173"/>
      <c r="O12" s="177" t="e">
        <f>O8/O7</f>
        <v>#REF!</v>
      </c>
      <c r="P12" s="177"/>
      <c r="Q12" s="174"/>
      <c r="R12" s="278"/>
    </row>
    <row r="13" spans="1:18" s="158" customFormat="1" x14ac:dyDescent="0.2">
      <c r="A13" s="158">
        <v>6</v>
      </c>
      <c r="B13" s="189" t="s">
        <v>277</v>
      </c>
      <c r="C13" s="177">
        <f>C10/C8</f>
        <v>0.65694682675814753</v>
      </c>
      <c r="D13" s="173"/>
      <c r="E13" s="177">
        <f>E10/E8</f>
        <v>0.71323228185170018</v>
      </c>
      <c r="F13" s="173"/>
      <c r="G13" s="177" t="e">
        <f>G10/G8</f>
        <v>#REF!</v>
      </c>
      <c r="H13" s="173"/>
      <c r="I13" s="177" t="e">
        <f>I10/I8</f>
        <v>#REF!</v>
      </c>
      <c r="J13" s="173"/>
      <c r="K13" s="177" t="e">
        <f>K10/K8</f>
        <v>#REF!</v>
      </c>
      <c r="L13" s="173"/>
      <c r="M13" s="177">
        <f>M10/M8</f>
        <v>0.59079283887468026</v>
      </c>
      <c r="N13" s="173"/>
      <c r="O13" s="177" t="e">
        <f>O10/O8</f>
        <v>#REF!</v>
      </c>
      <c r="P13" s="177"/>
      <c r="Q13" s="174"/>
      <c r="R13" s="278"/>
    </row>
    <row r="14" spans="1:18" ht="6" customHeight="1" x14ac:dyDescent="0.2">
      <c r="B14" s="191"/>
      <c r="C14" s="150"/>
      <c r="D14" s="148"/>
      <c r="E14" s="150"/>
      <c r="F14" s="148"/>
      <c r="G14" s="150"/>
      <c r="H14" s="148"/>
      <c r="I14" s="150"/>
      <c r="J14" s="148"/>
      <c r="K14" s="150"/>
      <c r="L14" s="148"/>
      <c r="M14" s="150"/>
      <c r="N14" s="148"/>
      <c r="O14" s="150"/>
      <c r="P14" s="150"/>
      <c r="Q14" s="192"/>
      <c r="R14" s="279"/>
    </row>
    <row r="15" spans="1:18" x14ac:dyDescent="0.2">
      <c r="A15" s="139">
        <v>7</v>
      </c>
      <c r="B15" s="189" t="s">
        <v>228</v>
      </c>
      <c r="C15" s="200">
        <f>INPUT!E37+INPUT!E43</f>
        <v>3100000</v>
      </c>
      <c r="D15" s="148"/>
      <c r="E15" s="200">
        <f>INPUT!G37+INPUT!G43</f>
        <v>2500000</v>
      </c>
      <c r="F15" s="148"/>
      <c r="G15" s="200" t="e">
        <f>INPUT!#REF!+INPUT!#REF!</f>
        <v>#REF!</v>
      </c>
      <c r="H15" s="148"/>
      <c r="I15" s="200" t="e">
        <f>INPUT!#REF!+INPUT!#REF!</f>
        <v>#REF!</v>
      </c>
      <c r="J15" s="148"/>
      <c r="K15" s="200" t="e">
        <f>INPUT!#REF!+INPUT!#REF!</f>
        <v>#REF!</v>
      </c>
      <c r="L15" s="148"/>
      <c r="M15" s="200">
        <f>INPUT!I37+INPUT!I43</f>
        <v>4000000</v>
      </c>
      <c r="N15" s="148"/>
      <c r="O15" s="200" t="e">
        <f>INPUT!#REF!+INPUT!#REF!</f>
        <v>#REF!</v>
      </c>
      <c r="P15" s="200"/>
      <c r="Q15" s="174">
        <f>RATE(2005-2003,0,-E15,M15)</f>
        <v>0.26491106406734932</v>
      </c>
      <c r="R15" s="278" t="e">
        <f>(M15-G15)/ABS(G15)</f>
        <v>#REF!</v>
      </c>
    </row>
    <row r="16" spans="1:18" x14ac:dyDescent="0.2">
      <c r="A16" s="139">
        <v>8</v>
      </c>
      <c r="B16" s="189" t="s">
        <v>229</v>
      </c>
      <c r="C16" s="200">
        <f>'Stmt Position'!E47</f>
        <v>0</v>
      </c>
      <c r="D16" s="200" t="e">
        <f>'Stmt Position'!F47</f>
        <v>#DIV/0!</v>
      </c>
      <c r="E16" s="200">
        <f>'Stmt Position'!G47</f>
        <v>1000000</v>
      </c>
      <c r="F16" s="200" t="e">
        <f>'Stmt Position'!H47</f>
        <v>#DIV/0!</v>
      </c>
      <c r="G16" s="200" t="e">
        <f>'Stmt Position'!#REF!</f>
        <v>#REF!</v>
      </c>
      <c r="H16" s="200" t="e">
        <f>'Stmt Position'!#REF!</f>
        <v>#REF!</v>
      </c>
      <c r="I16" s="200" t="e">
        <f>'Stmt Position'!#REF!</f>
        <v>#REF!</v>
      </c>
      <c r="J16" s="200"/>
      <c r="K16" s="200" t="e">
        <f>'Stmt Position'!#REF!</f>
        <v>#REF!</v>
      </c>
      <c r="L16" s="200"/>
      <c r="M16" s="200">
        <f>'Stmt Position'!I47</f>
        <v>1125000</v>
      </c>
      <c r="N16" s="200"/>
      <c r="O16" s="200" t="e">
        <f>'Stmt Position'!K47</f>
        <v>#REF!</v>
      </c>
      <c r="P16" s="200"/>
      <c r="Q16" s="174"/>
      <c r="R16" s="278"/>
    </row>
    <row r="17" spans="1:18" ht="14.25" x14ac:dyDescent="0.2">
      <c r="A17" s="139">
        <v>9</v>
      </c>
      <c r="B17" s="189" t="s">
        <v>248</v>
      </c>
      <c r="C17" s="232">
        <f>INPUT!E46+INPUT!E38</f>
        <v>0</v>
      </c>
      <c r="D17" s="148"/>
      <c r="E17" s="232">
        <f>INPUT!G46+INPUT!G38</f>
        <v>0</v>
      </c>
      <c r="F17" s="148"/>
      <c r="G17" s="232" t="e">
        <f>INPUT!#REF!+INPUT!#REF!</f>
        <v>#REF!</v>
      </c>
      <c r="H17" s="148"/>
      <c r="I17" s="232" t="e">
        <f>INPUT!#REF!</f>
        <v>#REF!</v>
      </c>
      <c r="J17" s="148"/>
      <c r="K17" s="232" t="e">
        <f>INPUT!#REF!</f>
        <v>#REF!</v>
      </c>
      <c r="L17" s="148"/>
      <c r="M17" s="232">
        <f>INPUT!I46+INPUT!I38</f>
        <v>0</v>
      </c>
      <c r="N17" s="148"/>
      <c r="O17" s="232" t="e">
        <f>INPUT!#REF!+INPUT!#REF!</f>
        <v>#REF!</v>
      </c>
      <c r="P17" s="200"/>
      <c r="Q17" s="174" t="e">
        <f>RATE(2005-2003,0,-E17,M17)</f>
        <v>#NUM!</v>
      </c>
      <c r="R17" s="278" t="e">
        <f>(M17-G17)/ABS(G17)</f>
        <v>#REF!</v>
      </c>
    </row>
    <row r="18" spans="1:18" x14ac:dyDescent="0.2">
      <c r="A18" s="139">
        <v>10</v>
      </c>
      <c r="B18" s="189" t="s">
        <v>249</v>
      </c>
      <c r="C18" s="200">
        <f>C15+C16+C17</f>
        <v>3100000</v>
      </c>
      <c r="D18" s="148"/>
      <c r="E18" s="200">
        <f>E15+E16+E17</f>
        <v>3500000</v>
      </c>
      <c r="F18" s="148"/>
      <c r="G18" s="200" t="e">
        <f>G15+G16+G17</f>
        <v>#REF!</v>
      </c>
      <c r="H18" s="148"/>
      <c r="I18" s="200" t="e">
        <f>I15+I16+I17</f>
        <v>#REF!</v>
      </c>
      <c r="J18" s="148"/>
      <c r="K18" s="200" t="e">
        <f>K15+K16+K17</f>
        <v>#REF!</v>
      </c>
      <c r="L18" s="148"/>
      <c r="M18" s="200">
        <f>M15+M16+M17</f>
        <v>5125000</v>
      </c>
      <c r="N18" s="148"/>
      <c r="O18" s="200" t="e">
        <f>O15+O16+O17</f>
        <v>#REF!</v>
      </c>
      <c r="P18" s="200"/>
      <c r="Q18" s="174">
        <f>RATE(2005-2003,0,-E18,M18)</f>
        <v>0.21007673900695822</v>
      </c>
      <c r="R18" s="278" t="e">
        <f>(M18-G18)/ABS(G18)</f>
        <v>#REF!</v>
      </c>
    </row>
    <row r="19" spans="1:18" ht="6" customHeight="1" x14ac:dyDescent="0.2">
      <c r="B19" s="191"/>
      <c r="C19" s="150"/>
      <c r="D19" s="148"/>
      <c r="E19" s="150"/>
      <c r="F19" s="148"/>
      <c r="G19" s="150"/>
      <c r="H19" s="148"/>
      <c r="I19" s="150"/>
      <c r="J19" s="148"/>
      <c r="K19" s="150"/>
      <c r="L19" s="148"/>
      <c r="M19" s="150"/>
      <c r="N19" s="148"/>
      <c r="O19" s="150"/>
      <c r="P19" s="150"/>
      <c r="Q19" s="192"/>
      <c r="R19" s="279"/>
    </row>
    <row r="20" spans="1:18" x14ac:dyDescent="0.2">
      <c r="A20" s="139">
        <v>11</v>
      </c>
      <c r="B20" s="193" t="s">
        <v>284</v>
      </c>
      <c r="C20" s="201">
        <f>C15/C25</f>
        <v>0.79487179487179482</v>
      </c>
      <c r="D20" s="150"/>
      <c r="E20" s="201">
        <f>E15/E25</f>
        <v>0.59523809523809523</v>
      </c>
      <c r="F20" s="150"/>
      <c r="G20" s="201" t="e">
        <f>G15/G25</f>
        <v>#REF!</v>
      </c>
      <c r="H20" s="150"/>
      <c r="I20" s="201" t="e">
        <f>I15/I25</f>
        <v>#REF!</v>
      </c>
      <c r="J20" s="150"/>
      <c r="K20" s="201" t="e">
        <f>K15/K25</f>
        <v>#REF!</v>
      </c>
      <c r="L20" s="150"/>
      <c r="M20" s="201">
        <f>M15/M25</f>
        <v>0.65306122448979587</v>
      </c>
      <c r="N20" s="150"/>
      <c r="O20" s="201" t="e">
        <f>O15/O25</f>
        <v>#REF!</v>
      </c>
      <c r="P20" s="201"/>
      <c r="Q20" s="192"/>
      <c r="R20" s="279"/>
    </row>
    <row r="21" spans="1:18" s="158" customFormat="1" x14ac:dyDescent="0.2">
      <c r="A21" s="158">
        <v>12</v>
      </c>
      <c r="B21" s="189" t="s">
        <v>283</v>
      </c>
      <c r="C21" s="177">
        <f>C16/C25</f>
        <v>0</v>
      </c>
      <c r="D21" s="173"/>
      <c r="E21" s="177">
        <f>E16/E25</f>
        <v>0.23809523809523808</v>
      </c>
      <c r="F21" s="173"/>
      <c r="G21" s="177" t="e">
        <f>G16/G25</f>
        <v>#REF!</v>
      </c>
      <c r="H21" s="173"/>
      <c r="I21" s="177" t="e">
        <f>I16/I25</f>
        <v>#REF!</v>
      </c>
      <c r="J21" s="173"/>
      <c r="K21" s="177" t="e">
        <f>K16/K25</f>
        <v>#REF!</v>
      </c>
      <c r="L21" s="173"/>
      <c r="M21" s="177">
        <f>M16/M25</f>
        <v>0.18367346938775511</v>
      </c>
      <c r="N21" s="173"/>
      <c r="O21" s="177" t="e">
        <f>O16/O25</f>
        <v>#REF!</v>
      </c>
      <c r="P21" s="177"/>
      <c r="Q21" s="174"/>
      <c r="R21" s="278"/>
    </row>
    <row r="22" spans="1:18" s="158" customFormat="1" ht="14.25" x14ac:dyDescent="0.2">
      <c r="A22" s="158">
        <v>13</v>
      </c>
      <c r="B22" s="189" t="s">
        <v>282</v>
      </c>
      <c r="C22" s="177">
        <f>C17/C25</f>
        <v>0</v>
      </c>
      <c r="D22" s="173"/>
      <c r="E22" s="177">
        <f>E17/E25</f>
        <v>0</v>
      </c>
      <c r="F22" s="173"/>
      <c r="G22" s="177" t="e">
        <f>G17/G25</f>
        <v>#REF!</v>
      </c>
      <c r="H22" s="173"/>
      <c r="I22" s="177" t="e">
        <f>I17/I25</f>
        <v>#REF!</v>
      </c>
      <c r="J22" s="173"/>
      <c r="K22" s="177" t="e">
        <f>K17/K25</f>
        <v>#REF!</v>
      </c>
      <c r="L22" s="173"/>
      <c r="M22" s="177">
        <f>M17/M25</f>
        <v>0</v>
      </c>
      <c r="N22" s="173"/>
      <c r="O22" s="177" t="e">
        <f>O17/O25</f>
        <v>#REF!</v>
      </c>
      <c r="P22" s="177"/>
      <c r="Q22" s="174"/>
      <c r="R22" s="278"/>
    </row>
    <row r="23" spans="1:18" s="158" customFormat="1" x14ac:dyDescent="0.2">
      <c r="A23" s="139">
        <v>14</v>
      </c>
      <c r="B23" s="189" t="s">
        <v>281</v>
      </c>
      <c r="C23" s="177">
        <f>C9/C25</f>
        <v>0.20512820512820512</v>
      </c>
      <c r="D23" s="173"/>
      <c r="E23" s="177">
        <f>E9/E25</f>
        <v>0.16666666666666666</v>
      </c>
      <c r="F23" s="173"/>
      <c r="G23" s="177" t="e">
        <f>G9/G25</f>
        <v>#REF!</v>
      </c>
      <c r="H23" s="173"/>
      <c r="I23" s="177" t="e">
        <f>I9/I25</f>
        <v>#REF!</v>
      </c>
      <c r="J23" s="173"/>
      <c r="K23" s="177" t="e">
        <f>K9/K25</f>
        <v>#REF!</v>
      </c>
      <c r="L23" s="173"/>
      <c r="M23" s="177">
        <f>M9/M25</f>
        <v>0.16326530612244897</v>
      </c>
      <c r="N23" s="173"/>
      <c r="O23" s="177" t="e">
        <f>O9/O25</f>
        <v>#REF!</v>
      </c>
      <c r="P23" s="177"/>
      <c r="Q23" s="174"/>
      <c r="R23" s="278"/>
    </row>
    <row r="24" spans="1:18" ht="6" customHeight="1" x14ac:dyDescent="0.2">
      <c r="B24" s="191"/>
      <c r="C24" s="150"/>
      <c r="D24" s="148"/>
      <c r="E24" s="150"/>
      <c r="F24" s="148"/>
      <c r="G24" s="150"/>
      <c r="H24" s="148"/>
      <c r="I24" s="150"/>
      <c r="J24" s="148"/>
      <c r="K24" s="150"/>
      <c r="L24" s="148"/>
      <c r="M24" s="150"/>
      <c r="N24" s="148"/>
      <c r="O24" s="150"/>
      <c r="P24" s="150"/>
      <c r="Q24" s="192"/>
      <c r="R24" s="279"/>
    </row>
    <row r="25" spans="1:18" x14ac:dyDescent="0.2">
      <c r="A25" s="139">
        <v>15</v>
      </c>
      <c r="B25" s="194" t="s">
        <v>280</v>
      </c>
      <c r="C25" s="241">
        <f>C9+C18</f>
        <v>3900000</v>
      </c>
      <c r="D25" s="175"/>
      <c r="E25" s="241">
        <f>E9+E18</f>
        <v>4200000</v>
      </c>
      <c r="F25" s="175"/>
      <c r="G25" s="241" t="e">
        <f>G9+G18</f>
        <v>#REF!</v>
      </c>
      <c r="H25" s="175"/>
      <c r="I25" s="241" t="e">
        <f>I9+I18</f>
        <v>#REF!</v>
      </c>
      <c r="J25" s="175"/>
      <c r="K25" s="241" t="e">
        <f>K9+K18</f>
        <v>#REF!</v>
      </c>
      <c r="L25" s="175"/>
      <c r="M25" s="241">
        <f>M9+M18</f>
        <v>6125000</v>
      </c>
      <c r="N25" s="175"/>
      <c r="O25" s="241" t="e">
        <f>O9+O18</f>
        <v>#REF!</v>
      </c>
      <c r="P25" s="241"/>
      <c r="Q25" s="172">
        <f>RATE(2005-2003,0,-E25,M25)</f>
        <v>0.20761472884911997</v>
      </c>
      <c r="R25" s="280" t="e">
        <f>(M25-G25)/ABS(G25)</f>
        <v>#REF!</v>
      </c>
    </row>
    <row r="26" spans="1:18" ht="6" customHeight="1" x14ac:dyDescent="0.2">
      <c r="B26" s="191"/>
      <c r="C26" s="150"/>
      <c r="D26" s="148"/>
      <c r="E26" s="150"/>
      <c r="F26" s="148"/>
      <c r="G26" s="150"/>
      <c r="H26" s="148"/>
      <c r="I26" s="150"/>
      <c r="J26" s="148"/>
      <c r="K26" s="150"/>
      <c r="L26" s="148"/>
      <c r="M26" s="150"/>
      <c r="N26" s="148"/>
      <c r="O26" s="150"/>
      <c r="P26" s="150"/>
      <c r="Q26" s="192"/>
      <c r="R26" s="279"/>
    </row>
    <row r="27" spans="1:18" x14ac:dyDescent="0.2">
      <c r="B27" s="183"/>
      <c r="D27" s="158"/>
      <c r="F27" s="158"/>
      <c r="H27" s="158"/>
      <c r="J27" s="158"/>
      <c r="L27" s="158"/>
      <c r="N27" s="158"/>
      <c r="Q27" s="161"/>
      <c r="R27" s="281"/>
    </row>
    <row r="28" spans="1:18" x14ac:dyDescent="0.2">
      <c r="B28" s="185" t="s">
        <v>98</v>
      </c>
      <c r="C28" s="144"/>
      <c r="D28" s="195"/>
      <c r="E28" s="144"/>
      <c r="F28" s="195"/>
      <c r="G28" s="144"/>
      <c r="H28" s="195"/>
      <c r="I28" s="144"/>
      <c r="J28" s="195"/>
      <c r="K28" s="144"/>
      <c r="L28" s="195"/>
      <c r="M28" s="144"/>
      <c r="N28" s="195"/>
      <c r="O28" s="144"/>
      <c r="P28" s="144"/>
      <c r="Q28" s="171"/>
      <c r="R28" s="282"/>
    </row>
    <row r="29" spans="1:18" x14ac:dyDescent="0.2">
      <c r="A29" s="139">
        <v>16</v>
      </c>
      <c r="B29" s="190" t="s">
        <v>240</v>
      </c>
      <c r="C29" s="238">
        <f>INPUT!G14+INPUT!E21</f>
        <v>4400000</v>
      </c>
      <c r="D29" s="239"/>
      <c r="E29" s="238" t="e">
        <f>INPUT!#REF!+INPUT!G21</f>
        <v>#REF!</v>
      </c>
      <c r="F29" s="239"/>
      <c r="G29" s="238" t="e">
        <f>INPUT!#REF!+INPUT!#REF!</f>
        <v>#REF!</v>
      </c>
      <c r="H29" s="239"/>
      <c r="I29" s="238" t="e">
        <f>INPUT!#REF!+INPUT!#REF!</f>
        <v>#REF!</v>
      </c>
      <c r="J29" s="239"/>
      <c r="K29" s="238" t="e">
        <f>INPUT!#REF!+INPUT!#REF!</f>
        <v>#REF!</v>
      </c>
      <c r="L29" s="239"/>
      <c r="M29" s="238">
        <f>INPUT!I14+INPUT!I21</f>
        <v>5025000</v>
      </c>
      <c r="N29" s="239"/>
      <c r="O29" s="238" t="e">
        <f>INPUT!#REF!+INPUT!#REF!</f>
        <v>#REF!</v>
      </c>
      <c r="P29" s="238"/>
      <c r="Q29" s="174" t="e">
        <f>RATE(2005-2003,0,-E29,M29)</f>
        <v>#REF!</v>
      </c>
      <c r="R29" s="278" t="e">
        <f>(M29-G29)/ABS(G29)</f>
        <v>#REF!</v>
      </c>
    </row>
    <row r="30" spans="1:18" x14ac:dyDescent="0.2">
      <c r="A30" s="139">
        <v>17</v>
      </c>
      <c r="B30" s="190" t="s">
        <v>219</v>
      </c>
      <c r="C30" s="188">
        <f>INPUT!E138</f>
        <v>0</v>
      </c>
      <c r="D30" s="165"/>
      <c r="E30" s="188">
        <f>INPUT!G138</f>
        <v>0</v>
      </c>
      <c r="F30" s="165"/>
      <c r="G30" s="231" t="e">
        <f>INPUT!#REF!</f>
        <v>#REF!</v>
      </c>
      <c r="H30" s="165"/>
      <c r="I30" s="231" t="e">
        <f>INPUT!#REF!</f>
        <v>#REF!</v>
      </c>
      <c r="J30" s="165"/>
      <c r="K30" s="231" t="e">
        <f>INPUT!#REF!</f>
        <v>#REF!</v>
      </c>
      <c r="L30" s="165"/>
      <c r="M30" s="231">
        <f>INPUT!I138</f>
        <v>0</v>
      </c>
      <c r="N30" s="165"/>
      <c r="O30" s="231" t="e">
        <f>INPUT!#REF!</f>
        <v>#REF!</v>
      </c>
      <c r="P30" s="231"/>
      <c r="Q30" s="174"/>
      <c r="R30" s="278"/>
    </row>
    <row r="31" spans="1:18" x14ac:dyDescent="0.2">
      <c r="A31" s="139">
        <v>18</v>
      </c>
      <c r="B31" s="190" t="s">
        <v>259</v>
      </c>
      <c r="C31" s="188">
        <f>INPUT!E139</f>
        <v>0</v>
      </c>
      <c r="D31" s="165"/>
      <c r="E31" s="188">
        <f>INPUT!G139</f>
        <v>0</v>
      </c>
      <c r="F31" s="165"/>
      <c r="G31" s="231" t="e">
        <f>INPUT!#REF!</f>
        <v>#REF!</v>
      </c>
      <c r="H31" s="165"/>
      <c r="I31" s="231" t="e">
        <f>INPUT!#REF!</f>
        <v>#REF!</v>
      </c>
      <c r="J31" s="165"/>
      <c r="K31" s="231" t="e">
        <f>INPUT!#REF!</f>
        <v>#REF!</v>
      </c>
      <c r="L31" s="165"/>
      <c r="M31" s="231">
        <f>INPUT!I139</f>
        <v>0</v>
      </c>
      <c r="N31" s="165"/>
      <c r="O31" s="231" t="e">
        <f>INPUT!#REF!</f>
        <v>#REF!</v>
      </c>
      <c r="P31" s="231"/>
      <c r="Q31" s="174"/>
      <c r="R31" s="278"/>
    </row>
    <row r="32" spans="1:18" x14ac:dyDescent="0.2">
      <c r="A32" s="139">
        <v>19</v>
      </c>
      <c r="B32" s="190" t="s">
        <v>241</v>
      </c>
      <c r="C32" s="259" t="s">
        <v>149</v>
      </c>
      <c r="D32" s="259"/>
      <c r="E32" s="259" t="s">
        <v>149</v>
      </c>
      <c r="F32" s="165"/>
      <c r="G32" s="238">
        <v>2148958</v>
      </c>
      <c r="H32" s="165"/>
      <c r="I32" s="238">
        <v>2148958</v>
      </c>
      <c r="J32" s="165"/>
      <c r="K32" s="238">
        <v>2148958</v>
      </c>
      <c r="L32" s="165"/>
      <c r="M32" s="238">
        <v>2148958</v>
      </c>
      <c r="N32" s="165"/>
      <c r="O32" s="238">
        <v>2148958</v>
      </c>
      <c r="P32" s="231"/>
      <c r="Q32" s="174"/>
      <c r="R32" s="278"/>
    </row>
    <row r="33" spans="1:18" ht="6" customHeight="1" x14ac:dyDescent="0.2">
      <c r="B33" s="191"/>
      <c r="C33" s="150"/>
      <c r="D33" s="148"/>
      <c r="E33" s="150"/>
      <c r="F33" s="148"/>
      <c r="G33" s="150"/>
      <c r="H33" s="148"/>
      <c r="I33" s="150"/>
      <c r="J33" s="148"/>
      <c r="K33" s="150"/>
      <c r="L33" s="148"/>
      <c r="M33" s="150"/>
      <c r="N33" s="148"/>
      <c r="O33" s="150"/>
      <c r="P33" s="150"/>
      <c r="Q33" s="192"/>
      <c r="R33" s="279"/>
    </row>
    <row r="34" spans="1:18" x14ac:dyDescent="0.2">
      <c r="A34" s="139">
        <v>20</v>
      </c>
      <c r="B34" s="190" t="s">
        <v>250</v>
      </c>
      <c r="C34" s="150" t="str">
        <f>DOLLAR(-INPUT!G15-INPUT!E22,0)&amp;" / "&amp;TEXT((-INPUT!G15-INPUT!E22)/C29,"0.0%")</f>
        <v>$575,000 / 13.1%</v>
      </c>
      <c r="D34" s="165"/>
      <c r="E34" s="150" t="e">
        <f>DOLLAR(-INPUT!#REF!-INPUT!G22,0)&amp;" / "&amp;TEXT((-INPUT!#REF!-INPUT!G22)/E29,"0.0%")</f>
        <v>#REF!</v>
      </c>
      <c r="F34" s="165"/>
      <c r="G34" s="150" t="e">
        <f>DOLLAR(-INPUT!#REF!-INPUT!#REF!,0)&amp;" / "&amp;TEXT((-INPUT!#REF!-INPUT!#REF!)/G29,"0.0%")</f>
        <v>#REF!</v>
      </c>
      <c r="H34" s="165"/>
      <c r="I34" s="150" t="e">
        <f>DOLLAR(-INPUT!#REF!-INPUT!#REF!,0)&amp;" / "&amp;TEXT((-INPUT!#REF!-INPUT!#REF!)/I29,"0.0%")</f>
        <v>#REF!</v>
      </c>
      <c r="J34" s="165"/>
      <c r="K34" s="150" t="e">
        <f>DOLLAR(-INPUT!#REF!-INPUT!#REF!,0)&amp;" / "&amp;TEXT((-INPUT!#REF!-INPUT!#REF!)/K29,"0.0%")</f>
        <v>#REF!</v>
      </c>
      <c r="L34" s="165"/>
      <c r="M34" s="150" t="str">
        <f>DOLLAR(-INPUT!I15-INPUT!I22,0)&amp;" / "&amp;TEXT((-INPUT!I15-INPUT!I22)/M29,"0.0%")</f>
        <v>$600,000 / 11.9%</v>
      </c>
      <c r="N34" s="165"/>
      <c r="O34" s="150" t="e">
        <f>DOLLAR(-INPUT!#REF!-INPUT!#REF!,0)&amp;" / "&amp;TEXT((-INPUT!#REF!-INPUT!#REF!)/O29,"0.0%")</f>
        <v>#REF!</v>
      </c>
      <c r="P34" s="150"/>
      <c r="Q34" s="174"/>
      <c r="R34" s="278"/>
    </row>
    <row r="35" spans="1:18" ht="6" customHeight="1" x14ac:dyDescent="0.2">
      <c r="B35" s="191"/>
      <c r="C35" s="150"/>
      <c r="D35" s="148"/>
      <c r="E35" s="150"/>
      <c r="F35" s="148"/>
      <c r="G35" s="150"/>
      <c r="H35" s="148"/>
      <c r="I35" s="150"/>
      <c r="J35" s="148"/>
      <c r="K35" s="150"/>
      <c r="L35" s="148"/>
      <c r="M35" s="150"/>
      <c r="N35" s="148"/>
      <c r="O35" s="150"/>
      <c r="P35" s="150"/>
      <c r="Q35" s="192"/>
      <c r="R35" s="279"/>
    </row>
    <row r="36" spans="1:18" x14ac:dyDescent="0.2">
      <c r="B36" s="243" t="s">
        <v>244</v>
      </c>
      <c r="C36" s="150"/>
      <c r="D36" s="242"/>
      <c r="E36" s="150"/>
      <c r="F36" s="242"/>
      <c r="G36" s="150"/>
      <c r="H36" s="242"/>
      <c r="I36" s="150"/>
      <c r="J36" s="242"/>
      <c r="K36" s="150"/>
      <c r="L36" s="242"/>
      <c r="M36" s="150"/>
      <c r="N36" s="242"/>
      <c r="O36" s="150"/>
      <c r="P36" s="150"/>
      <c r="Q36" s="174"/>
      <c r="R36" s="278"/>
    </row>
    <row r="37" spans="1:18" x14ac:dyDescent="0.2">
      <c r="A37" s="139">
        <v>21</v>
      </c>
      <c r="B37" s="257" t="s">
        <v>66</v>
      </c>
      <c r="C37" s="202" t="str">
        <f>DOLLAR(INPUT!E125,0)&amp;" / "&amp;TEXT(INPUT!E125/C$29,"0.0%")</f>
        <v>$150,000 / 3.4%</v>
      </c>
      <c r="D37" s="173"/>
      <c r="E37" s="202" t="e">
        <f>DOLLAR(INPUT!G125,0)&amp;" / "&amp;TEXT(INPUT!G125/E$29,"0.0%")</f>
        <v>#REF!</v>
      </c>
      <c r="F37" s="202"/>
      <c r="G37" s="202" t="e">
        <f>DOLLAR(INPUT!#REF!,0)&amp;" / "&amp;TEXT(INPUT!#REF!/G$29,"0.0%")</f>
        <v>#REF!</v>
      </c>
      <c r="H37" s="202"/>
      <c r="I37" s="202" t="e">
        <f>DOLLAR(INPUT!#REF!,0)&amp;" / "&amp;TEXT(INPUT!#REF!/I$29,"0.0%")</f>
        <v>#REF!</v>
      </c>
      <c r="J37" s="202"/>
      <c r="K37" s="202" t="e">
        <f>DOLLAR(INPUT!#REF!,0)&amp;" / "&amp;TEXT(INPUT!#REF!/K$29,"0.0%")</f>
        <v>#REF!</v>
      </c>
      <c r="L37" s="202"/>
      <c r="M37" s="202" t="str">
        <f>DOLLAR(INPUT!I125,0)&amp;" / "&amp;TEXT(INPUT!I125/M$29,"0.0%")</f>
        <v>$100,000 / 2.0%</v>
      </c>
      <c r="N37" s="202"/>
      <c r="O37" s="202" t="e">
        <f>DOLLAR(INPUT!#REF!,0)&amp;" / "&amp;TEXT(INPUT!#REF!/O$29,"0.0%")</f>
        <v>#REF!</v>
      </c>
      <c r="P37" s="202"/>
      <c r="Q37" s="174"/>
      <c r="R37" s="283"/>
    </row>
    <row r="38" spans="1:18" x14ac:dyDescent="0.2">
      <c r="A38" s="139">
        <v>22</v>
      </c>
      <c r="B38" s="257" t="s">
        <v>67</v>
      </c>
      <c r="C38" s="202" t="str">
        <f>DOLLAR(INPUT!E126,0)&amp;" / "&amp;TEXT(INPUT!E126/C$29,"0.0%")</f>
        <v>$0 / 0.0%</v>
      </c>
      <c r="D38" s="173"/>
      <c r="E38" s="202" t="e">
        <f>DOLLAR(INPUT!G126,0)&amp;" / "&amp;TEXT(INPUT!G126/E$29,"0.0%")</f>
        <v>#REF!</v>
      </c>
      <c r="F38" s="202"/>
      <c r="G38" s="202" t="e">
        <f>DOLLAR(INPUT!#REF!,0)&amp;" / "&amp;TEXT(INPUT!#REF!/G$29,"0.0%")</f>
        <v>#REF!</v>
      </c>
      <c r="H38" s="202"/>
      <c r="I38" s="202" t="e">
        <f>DOLLAR(INPUT!#REF!,0)&amp;" / "&amp;TEXT(INPUT!#REF!/I$29,"0.0%")</f>
        <v>#REF!</v>
      </c>
      <c r="J38" s="202"/>
      <c r="K38" s="202" t="e">
        <f>DOLLAR(INPUT!#REF!,0)&amp;" / "&amp;TEXT(INPUT!#REF!/K$29,"0.0%")</f>
        <v>#REF!</v>
      </c>
      <c r="L38" s="202"/>
      <c r="M38" s="202" t="str">
        <f>DOLLAR(INPUT!I126,0)&amp;" / "&amp;TEXT(INPUT!I126/M$29,"0.0%")</f>
        <v>$50,000 / 1.0%</v>
      </c>
      <c r="N38" s="202"/>
      <c r="O38" s="202" t="e">
        <f>DOLLAR(INPUT!#REF!,0)&amp;" / "&amp;TEXT(INPUT!#REF!/O$29,"0.0%")</f>
        <v>#REF!</v>
      </c>
      <c r="P38" s="202"/>
      <c r="Q38" s="174"/>
      <c r="R38" s="283"/>
    </row>
    <row r="39" spans="1:18" x14ac:dyDescent="0.2">
      <c r="A39" s="139">
        <v>23</v>
      </c>
      <c r="B39" s="257" t="s">
        <v>251</v>
      </c>
      <c r="C39" s="203" t="str">
        <f>DOLLAR(INPUT!E127,0)&amp;" / "&amp;TEXT(INPUT!E127/C$29,"0.0%")</f>
        <v>$75,000 / 1.7%</v>
      </c>
      <c r="D39" s="173"/>
      <c r="E39" s="203" t="e">
        <f>DOLLAR(INPUT!G127,0)&amp;" / "&amp;TEXT(INPUT!G127/E$29,"0.0%")</f>
        <v>#REF!</v>
      </c>
      <c r="F39" s="202"/>
      <c r="G39" s="203" t="e">
        <f>DOLLAR(INPUT!#REF!,0)&amp;" / "&amp;TEXT(INPUT!#REF!/G$29,"0.0%")</f>
        <v>#REF!</v>
      </c>
      <c r="H39" s="202"/>
      <c r="I39" s="203" t="e">
        <f>DOLLAR(INPUT!#REF!,0)&amp;" / "&amp;TEXT(INPUT!#REF!/I$29,"0.0%")</f>
        <v>#REF!</v>
      </c>
      <c r="J39" s="202"/>
      <c r="K39" s="203" t="e">
        <f>DOLLAR(INPUT!#REF!,0)&amp;" / "&amp;TEXT(INPUT!#REF!/K$29,"0.0%")</f>
        <v>#REF!</v>
      </c>
      <c r="L39" s="202"/>
      <c r="M39" s="203" t="str">
        <f>DOLLAR(INPUT!I127,0)&amp;" / "&amp;TEXT(INPUT!I127/M$29,"0.0%")</f>
        <v>$65,000 / 1.3%</v>
      </c>
      <c r="N39" s="202"/>
      <c r="O39" s="203" t="e">
        <f>DOLLAR(INPUT!#REF!,0)&amp;" / "&amp;TEXT(INPUT!#REF!/O$29,"0.0%")</f>
        <v>#REF!</v>
      </c>
      <c r="P39" s="202"/>
      <c r="Q39" s="174"/>
      <c r="R39" s="283"/>
    </row>
    <row r="40" spans="1:18" x14ac:dyDescent="0.2">
      <c r="B40" s="189" t="s">
        <v>128</v>
      </c>
      <c r="C40" s="202" t="str">
        <f>DOLLAR(INPUT!E128,0)&amp;" / "&amp;TEXT(INPUT!E128/C$29,"0.0%")</f>
        <v>$225,000 / 5.1%</v>
      </c>
      <c r="D40" s="173"/>
      <c r="E40" s="202" t="e">
        <f>DOLLAR(INPUT!G128,0)&amp;" / "&amp;TEXT(INPUT!G128/E$29,"0.0%")</f>
        <v>#REF!</v>
      </c>
      <c r="F40" s="173"/>
      <c r="G40" s="202" t="e">
        <f>DOLLAR(INPUT!#REF!,0)&amp;" / "&amp;TEXT(INPUT!#REF!/G$29,"0.0%")</f>
        <v>#REF!</v>
      </c>
      <c r="H40" s="173"/>
      <c r="I40" s="202" t="e">
        <f>DOLLAR(INPUT!#REF!,0)&amp;" / "&amp;TEXT(INPUT!#REF!/I$29,"0.0%")</f>
        <v>#REF!</v>
      </c>
      <c r="J40" s="173"/>
      <c r="K40" s="202" t="e">
        <f>DOLLAR(INPUT!#REF!,0)&amp;" / "&amp;TEXT(INPUT!#REF!/K$29,"0.0%")</f>
        <v>#REF!</v>
      </c>
      <c r="L40" s="173"/>
      <c r="M40" s="202" t="str">
        <f>DOLLAR(INPUT!I128,0)&amp;" / "&amp;TEXT(INPUT!I128/M$29,"0.0%")</f>
        <v>$215,000 / 4.3%</v>
      </c>
      <c r="N40" s="173"/>
      <c r="O40" s="202" t="e">
        <f>DOLLAR(INPUT!#REF!,0)&amp;" / "&amp;TEXT(INPUT!#REF!/O$29,"0.0%")</f>
        <v>#REF!</v>
      </c>
      <c r="P40" s="202"/>
      <c r="Q40" s="174"/>
      <c r="R40" s="283"/>
    </row>
    <row r="41" spans="1:18" ht="6" customHeight="1" x14ac:dyDescent="0.2">
      <c r="B41" s="191"/>
      <c r="C41" s="150"/>
      <c r="D41" s="148"/>
      <c r="E41" s="150"/>
      <c r="F41" s="148"/>
      <c r="G41" s="150"/>
      <c r="H41" s="148"/>
      <c r="I41" s="150"/>
      <c r="J41" s="148"/>
      <c r="K41" s="150"/>
      <c r="L41" s="148"/>
      <c r="M41" s="150"/>
      <c r="N41" s="148"/>
      <c r="O41" s="150"/>
      <c r="P41" s="150"/>
      <c r="Q41" s="192"/>
      <c r="R41" s="279"/>
    </row>
    <row r="42" spans="1:18" x14ac:dyDescent="0.2">
      <c r="A42" s="139">
        <v>24</v>
      </c>
      <c r="B42" s="262" t="s">
        <v>272</v>
      </c>
      <c r="C42" s="203" t="str">
        <f>DOLLAR(INPUT!E130,0)&amp;" / "&amp;TEXT(INPUT!E130/C$29,"0.0%")</f>
        <v>$20,000 / 0.5%</v>
      </c>
      <c r="D42" s="153"/>
      <c r="E42" s="203" t="e">
        <f>DOLLAR(INPUT!G130,0)&amp;" / "&amp;TEXT(INPUT!G130/E$29,"0.0%")</f>
        <v>#REF!</v>
      </c>
      <c r="F42" s="203"/>
      <c r="G42" s="203" t="e">
        <f>DOLLAR(INPUT!#REF!,0)&amp;" / "&amp;TEXT(INPUT!#REF!/G$29,"0.0%")</f>
        <v>#REF!</v>
      </c>
      <c r="H42" s="203"/>
      <c r="I42" s="203" t="e">
        <f>DOLLAR(INPUT!#REF!,0)&amp;" / "&amp;TEXT(INPUT!#REF!/I$29,"0.0%")</f>
        <v>#REF!</v>
      </c>
      <c r="J42" s="203"/>
      <c r="K42" s="203" t="e">
        <f>DOLLAR(INPUT!#REF!,0)&amp;" / "&amp;TEXT(INPUT!#REF!/K$29,"0.0%")</f>
        <v>#REF!</v>
      </c>
      <c r="L42" s="203"/>
      <c r="M42" s="203" t="str">
        <f>DOLLAR(INPUT!I130,0)&amp;" / "&amp;TEXT(INPUT!I130/M$29,"0.0%")</f>
        <v>$30,000 / 0.6%</v>
      </c>
      <c r="N42" s="203"/>
      <c r="O42" s="203" t="e">
        <f>DOLLAR(INPUT!#REF!,0)&amp;" / "&amp;TEXT(INPUT!#REF!/O$29,"0.0%")</f>
        <v>#REF!</v>
      </c>
      <c r="P42" s="266"/>
      <c r="Q42" s="172"/>
      <c r="R42" s="280"/>
    </row>
    <row r="43" spans="1:18" hidden="1" x14ac:dyDescent="0.2">
      <c r="A43" s="139">
        <v>25</v>
      </c>
      <c r="B43" s="205" t="s">
        <v>245</v>
      </c>
      <c r="C43" s="150"/>
      <c r="D43" s="148"/>
      <c r="E43" s="150"/>
      <c r="F43" s="148"/>
      <c r="G43" s="150"/>
      <c r="H43" s="148"/>
      <c r="I43" s="150"/>
      <c r="J43" s="148"/>
      <c r="K43" s="150"/>
      <c r="L43" s="148"/>
      <c r="M43" s="150"/>
      <c r="N43" s="148"/>
      <c r="O43" s="150"/>
      <c r="P43" s="150"/>
      <c r="Q43" s="174" t="s">
        <v>292</v>
      </c>
      <c r="R43" s="278" t="s">
        <v>292</v>
      </c>
    </row>
    <row r="44" spans="1:18" hidden="1" x14ac:dyDescent="0.2">
      <c r="A44" s="139">
        <v>26</v>
      </c>
      <c r="B44" s="204" t="s">
        <v>258</v>
      </c>
      <c r="C44" s="155"/>
      <c r="D44" s="153"/>
      <c r="E44" s="155"/>
      <c r="F44" s="153"/>
      <c r="G44" s="155"/>
      <c r="H44" s="153"/>
      <c r="I44" s="155"/>
      <c r="J44" s="153"/>
      <c r="K44" s="155"/>
      <c r="L44" s="153"/>
      <c r="M44" s="155"/>
      <c r="N44" s="153"/>
      <c r="O44" s="155"/>
      <c r="P44" s="155"/>
      <c r="Q44" s="172"/>
      <c r="R44" s="280"/>
    </row>
    <row r="45" spans="1:18" x14ac:dyDescent="0.2">
      <c r="B45" s="182"/>
      <c r="D45" s="159"/>
      <c r="F45" s="159"/>
      <c r="H45" s="159"/>
      <c r="J45" s="159"/>
      <c r="L45" s="159"/>
      <c r="N45" s="159"/>
      <c r="Q45" s="161"/>
      <c r="R45" s="281"/>
    </row>
    <row r="46" spans="1:18" x14ac:dyDescent="0.2">
      <c r="B46" s="185" t="s">
        <v>171</v>
      </c>
      <c r="C46" s="144"/>
      <c r="D46" s="142"/>
      <c r="E46" s="144"/>
      <c r="F46" s="142"/>
      <c r="G46" s="144"/>
      <c r="H46" s="142"/>
      <c r="I46" s="144"/>
      <c r="J46" s="142"/>
      <c r="K46" s="144"/>
      <c r="L46" s="142"/>
      <c r="M46" s="144"/>
      <c r="N46" s="142"/>
      <c r="O46" s="144"/>
      <c r="P46" s="144"/>
      <c r="Q46" s="171"/>
      <c r="R46" s="282"/>
    </row>
    <row r="47" spans="1:18" x14ac:dyDescent="0.2">
      <c r="A47" s="139">
        <v>27</v>
      </c>
      <c r="B47" s="189" t="s">
        <v>256</v>
      </c>
      <c r="C47" s="188">
        <f>INPUT!E150</f>
        <v>0</v>
      </c>
      <c r="D47" s="148"/>
      <c r="E47" s="188">
        <f>INPUT!G150</f>
        <v>0</v>
      </c>
      <c r="F47" s="148"/>
      <c r="G47" s="258" t="e">
        <f>INPUT!#REF!</f>
        <v>#REF!</v>
      </c>
      <c r="H47" s="148"/>
      <c r="I47" s="258" t="e">
        <f>INPUT!#REF!</f>
        <v>#REF!</v>
      </c>
      <c r="J47" s="148"/>
      <c r="K47" s="258" t="e">
        <f>INPUT!#REF!</f>
        <v>#REF!</v>
      </c>
      <c r="L47" s="148"/>
      <c r="M47" s="258">
        <f>INPUT!I150</f>
        <v>0</v>
      </c>
      <c r="N47" s="148"/>
      <c r="O47" s="258" t="e">
        <f>INPUT!#REF!</f>
        <v>#REF!</v>
      </c>
      <c r="P47" s="259"/>
      <c r="Q47" s="174"/>
      <c r="R47" s="278"/>
    </row>
    <row r="48" spans="1:18" x14ac:dyDescent="0.2">
      <c r="A48" s="139">
        <v>28</v>
      </c>
      <c r="B48" s="189" t="s">
        <v>257</v>
      </c>
      <c r="C48" s="188">
        <f>INPUT!E149</f>
        <v>0</v>
      </c>
      <c r="D48" s="148"/>
      <c r="E48" s="188">
        <f>INPUT!G149</f>
        <v>0</v>
      </c>
      <c r="F48" s="148"/>
      <c r="G48" s="258" t="e">
        <f>INPUT!#REF!</f>
        <v>#REF!</v>
      </c>
      <c r="H48" s="148"/>
      <c r="I48" s="258" t="e">
        <f>INPUT!#REF!</f>
        <v>#REF!</v>
      </c>
      <c r="J48" s="148"/>
      <c r="K48" s="258" t="e">
        <f>INPUT!#REF!</f>
        <v>#REF!</v>
      </c>
      <c r="L48" s="148"/>
      <c r="M48" s="258">
        <f>INPUT!I149</f>
        <v>0</v>
      </c>
      <c r="N48" s="148"/>
      <c r="O48" s="258" t="e">
        <f>INPUT!#REF!</f>
        <v>#REF!</v>
      </c>
      <c r="P48" s="259"/>
      <c r="Q48" s="174"/>
      <c r="R48" s="278"/>
    </row>
    <row r="49" spans="1:18" ht="6" customHeight="1" x14ac:dyDescent="0.2">
      <c r="B49" s="191"/>
      <c r="C49" s="150"/>
      <c r="D49" s="148"/>
      <c r="E49" s="150"/>
      <c r="F49" s="148"/>
      <c r="G49" s="150"/>
      <c r="H49" s="148"/>
      <c r="I49" s="150"/>
      <c r="J49" s="148"/>
      <c r="K49" s="150"/>
      <c r="L49" s="148"/>
      <c r="M49" s="150"/>
      <c r="N49" s="148"/>
      <c r="O49" s="150"/>
      <c r="P49" s="150"/>
      <c r="Q49" s="192"/>
      <c r="R49" s="279"/>
    </row>
    <row r="50" spans="1:18" x14ac:dyDescent="0.2">
      <c r="A50" s="139">
        <v>29</v>
      </c>
      <c r="B50" s="189" t="s">
        <v>252</v>
      </c>
      <c r="C50" s="200" t="e">
        <f>INPUT!E98/C31</f>
        <v>#DIV/0!</v>
      </c>
      <c r="D50" s="148"/>
      <c r="E50" s="200" t="e">
        <f>INPUT!G98/E31</f>
        <v>#DIV/0!</v>
      </c>
      <c r="F50" s="200"/>
      <c r="G50" s="200" t="e">
        <f>INPUT!#REF!/G31</f>
        <v>#REF!</v>
      </c>
      <c r="H50" s="200"/>
      <c r="I50" s="200" t="e">
        <f>INPUT!#REF!/I31</f>
        <v>#REF!</v>
      </c>
      <c r="J50" s="200"/>
      <c r="K50" s="200" t="e">
        <f>INPUT!#REF!/K31</f>
        <v>#REF!</v>
      </c>
      <c r="L50" s="200"/>
      <c r="M50" s="200" t="e">
        <f>INPUT!I98/M31</f>
        <v>#DIV/0!</v>
      </c>
      <c r="N50" s="200"/>
      <c r="O50" s="200" t="e">
        <f>INPUT!#REF!/O31</f>
        <v>#REF!</v>
      </c>
      <c r="P50" s="258"/>
      <c r="Q50" s="174"/>
      <c r="R50" s="278"/>
    </row>
    <row r="51" spans="1:18" x14ac:dyDescent="0.2">
      <c r="A51" s="139">
        <v>29.714285714285701</v>
      </c>
      <c r="B51" s="189" t="s">
        <v>254</v>
      </c>
      <c r="C51" s="200" t="e">
        <f>INPUT!E98/C30</f>
        <v>#DIV/0!</v>
      </c>
      <c r="D51" s="148"/>
      <c r="E51" s="200" t="e">
        <f>INPUT!G98/E30</f>
        <v>#DIV/0!</v>
      </c>
      <c r="F51" s="200"/>
      <c r="G51" s="200" t="e">
        <f>INPUT!#REF!/G30</f>
        <v>#REF!</v>
      </c>
      <c r="H51" s="200"/>
      <c r="I51" s="200" t="e">
        <f>INPUT!#REF!/I30</f>
        <v>#REF!</v>
      </c>
      <c r="J51" s="200"/>
      <c r="K51" s="200" t="e">
        <f>INPUT!#REF!/K30</f>
        <v>#REF!</v>
      </c>
      <c r="L51" s="200"/>
      <c r="M51" s="200" t="e">
        <f>INPUT!I98/M30</f>
        <v>#DIV/0!</v>
      </c>
      <c r="N51" s="200"/>
      <c r="O51" s="200" t="e">
        <f>INPUT!#REF!/O30</f>
        <v>#REF!</v>
      </c>
      <c r="P51" s="258"/>
      <c r="Q51" s="174"/>
      <c r="R51" s="278"/>
    </row>
    <row r="52" spans="1:18" x14ac:dyDescent="0.2">
      <c r="A52" s="139">
        <v>31</v>
      </c>
      <c r="B52" s="189" t="s">
        <v>253</v>
      </c>
      <c r="C52" s="233">
        <f>INPUT!E98/INPUT!E29</f>
        <v>0.13839885752688172</v>
      </c>
      <c r="D52" s="148"/>
      <c r="E52" s="233">
        <f>INPUT!G98/INPUT!G29</f>
        <v>0.16615429658907921</v>
      </c>
      <c r="F52" s="148"/>
      <c r="G52" s="233" t="e">
        <f>INPUT!#REF!/INPUT!#REF!</f>
        <v>#REF!</v>
      </c>
      <c r="H52" s="148"/>
      <c r="I52" s="233" t="e">
        <f>INPUT!#REF!/INPUT!#REF!</f>
        <v>#REF!</v>
      </c>
      <c r="J52" s="148"/>
      <c r="K52" s="233" t="e">
        <f>INPUT!#REF!/INPUT!#REF!</f>
        <v>#REF!</v>
      </c>
      <c r="L52" s="148"/>
      <c r="M52" s="233">
        <f>INPUT!I98/INPUT!I29</f>
        <v>0.16620106016925509</v>
      </c>
      <c r="N52" s="148"/>
      <c r="O52" s="233" t="e">
        <f>INPUT!#REF!/INPUT!#REF!</f>
        <v>#REF!</v>
      </c>
      <c r="P52" s="233"/>
      <c r="Q52" s="174"/>
      <c r="R52" s="278"/>
    </row>
    <row r="53" spans="1:18" x14ac:dyDescent="0.2">
      <c r="A53" s="139">
        <v>32</v>
      </c>
      <c r="B53" s="189" t="s">
        <v>255</v>
      </c>
      <c r="C53" s="200" t="e">
        <f>C29/C47</f>
        <v>#DIV/0!</v>
      </c>
      <c r="D53" s="148"/>
      <c r="E53" s="200" t="e">
        <f>E29/E47</f>
        <v>#REF!</v>
      </c>
      <c r="F53" s="200"/>
      <c r="G53" s="200" t="e">
        <f>G29/G47</f>
        <v>#REF!</v>
      </c>
      <c r="H53" s="200"/>
      <c r="I53" s="200" t="e">
        <f>I29/I47</f>
        <v>#REF!</v>
      </c>
      <c r="J53" s="200"/>
      <c r="K53" s="200" t="e">
        <f>K29/K47</f>
        <v>#REF!</v>
      </c>
      <c r="L53" s="200"/>
      <c r="M53" s="200" t="e">
        <f>M29/M47</f>
        <v>#DIV/0!</v>
      </c>
      <c r="N53" s="200"/>
      <c r="O53" s="200" t="e">
        <f>O29/O47</f>
        <v>#REF!</v>
      </c>
      <c r="P53" s="200"/>
      <c r="Q53" s="174"/>
      <c r="R53" s="278"/>
    </row>
    <row r="54" spans="1:18" x14ac:dyDescent="0.2">
      <c r="A54" s="139">
        <v>33</v>
      </c>
      <c r="B54" s="189" t="s">
        <v>179</v>
      </c>
      <c r="C54" s="200" t="e">
        <f>INPUT!E87/'Ratios '!C48</f>
        <v>#DIV/0!</v>
      </c>
      <c r="D54" s="148"/>
      <c r="E54" s="200" t="e">
        <f>INPUT!G87/'Ratios '!E48</f>
        <v>#DIV/0!</v>
      </c>
      <c r="F54" s="200"/>
      <c r="G54" s="200" t="e">
        <f>INPUT!#REF!/'Ratios '!G48</f>
        <v>#REF!</v>
      </c>
      <c r="H54" s="200"/>
      <c r="I54" s="200" t="e">
        <f>INPUT!#REF!/'Ratios '!I48</f>
        <v>#REF!</v>
      </c>
      <c r="J54" s="200"/>
      <c r="K54" s="200" t="e">
        <f>INPUT!#REF!/'Ratios '!K48</f>
        <v>#REF!</v>
      </c>
      <c r="L54" s="200"/>
      <c r="M54" s="200" t="e">
        <f>INPUT!I87/'Ratios '!M48</f>
        <v>#DIV/0!</v>
      </c>
      <c r="N54" s="200"/>
      <c r="O54" s="200" t="e">
        <f>INPUT!#REF!/'Ratios '!O48</f>
        <v>#REF!</v>
      </c>
      <c r="P54" s="200"/>
      <c r="Q54" s="174"/>
      <c r="R54" s="278"/>
    </row>
    <row r="55" spans="1:18" ht="6" customHeight="1" x14ac:dyDescent="0.2">
      <c r="B55" s="189"/>
      <c r="C55" s="200"/>
      <c r="D55" s="148"/>
      <c r="E55" s="200"/>
      <c r="F55" s="148"/>
      <c r="G55" s="200"/>
      <c r="H55" s="148"/>
      <c r="I55" s="200"/>
      <c r="J55" s="148"/>
      <c r="K55" s="200"/>
      <c r="L55" s="148"/>
      <c r="M55" s="200"/>
      <c r="N55" s="148"/>
      <c r="O55" s="200"/>
      <c r="P55" s="200"/>
      <c r="Q55" s="174"/>
      <c r="R55" s="278"/>
    </row>
    <row r="56" spans="1:18" x14ac:dyDescent="0.2">
      <c r="A56" s="139">
        <v>34</v>
      </c>
      <c r="B56" s="189" t="s">
        <v>97</v>
      </c>
      <c r="C56" s="260" t="s">
        <v>149</v>
      </c>
      <c r="D56" s="261"/>
      <c r="E56" s="260" t="s">
        <v>149</v>
      </c>
      <c r="F56" s="261"/>
      <c r="G56" s="260" t="e">
        <f>(G29+G32)/G25</f>
        <v>#REF!</v>
      </c>
      <c r="H56" s="261"/>
      <c r="I56" s="260" t="e">
        <f>(I29+I32)/I25</f>
        <v>#REF!</v>
      </c>
      <c r="J56" s="261"/>
      <c r="K56" s="260" t="e">
        <f>(K29+K32)/K25</f>
        <v>#REF!</v>
      </c>
      <c r="L56" s="261"/>
      <c r="M56" s="260">
        <f>(M29+M32)/M25</f>
        <v>1.1712584489795919</v>
      </c>
      <c r="N56" s="261"/>
      <c r="O56" s="260" t="e">
        <f>(O29+O32)/O25</f>
        <v>#REF!</v>
      </c>
      <c r="P56" s="260"/>
      <c r="Q56" s="174"/>
      <c r="R56" s="278"/>
    </row>
    <row r="57" spans="1:18" x14ac:dyDescent="0.2">
      <c r="A57" s="139">
        <v>35</v>
      </c>
      <c r="B57" s="194" t="s">
        <v>303</v>
      </c>
      <c r="C57" s="206">
        <f>C29/C25</f>
        <v>1.1282051282051282</v>
      </c>
      <c r="D57" s="175"/>
      <c r="E57" s="206" t="e">
        <f>E29/E25</f>
        <v>#REF!</v>
      </c>
      <c r="F57" s="175"/>
      <c r="G57" s="206" t="e">
        <f>G29/G25</f>
        <v>#REF!</v>
      </c>
      <c r="H57" s="175"/>
      <c r="I57" s="206" t="e">
        <f>I29/I25</f>
        <v>#REF!</v>
      </c>
      <c r="J57" s="175"/>
      <c r="K57" s="206" t="e">
        <f>K29/K25</f>
        <v>#REF!</v>
      </c>
      <c r="L57" s="175"/>
      <c r="M57" s="206">
        <f>M29/M25</f>
        <v>0.82040816326530608</v>
      </c>
      <c r="N57" s="175"/>
      <c r="O57" s="206" t="e">
        <f>O29/O25</f>
        <v>#REF!</v>
      </c>
      <c r="P57" s="206"/>
      <c r="Q57" s="172"/>
      <c r="R57" s="280"/>
    </row>
    <row r="58" spans="1:18" x14ac:dyDescent="0.2">
      <c r="B58" s="182"/>
      <c r="D58" s="159"/>
      <c r="F58" s="159"/>
      <c r="H58" s="159"/>
      <c r="J58" s="159"/>
      <c r="L58" s="159"/>
      <c r="N58" s="159"/>
      <c r="Q58" s="161"/>
      <c r="R58" s="281"/>
    </row>
    <row r="59" spans="1:18" x14ac:dyDescent="0.2">
      <c r="B59" s="185" t="s">
        <v>131</v>
      </c>
      <c r="C59" s="144"/>
      <c r="D59" s="142"/>
      <c r="E59" s="144"/>
      <c r="F59" s="142"/>
      <c r="G59" s="144"/>
      <c r="H59" s="142"/>
      <c r="I59" s="144"/>
      <c r="J59" s="142"/>
      <c r="K59" s="144"/>
      <c r="L59" s="142"/>
      <c r="M59" s="144"/>
      <c r="N59" s="142"/>
      <c r="O59" s="144"/>
      <c r="P59" s="144"/>
      <c r="Q59" s="171"/>
      <c r="R59" s="282"/>
    </row>
    <row r="60" spans="1:18" x14ac:dyDescent="0.2">
      <c r="A60" s="139">
        <v>36</v>
      </c>
      <c r="B60" s="189" t="s">
        <v>18</v>
      </c>
      <c r="C60" s="240">
        <f>'Stmt Activities'!E10+'Stmt Activities'!E15+'Stmt Activities'!E23+'Stmt Activities'!E51</f>
        <v>540750</v>
      </c>
      <c r="D60" s="237"/>
      <c r="E60" s="240">
        <f>'Stmt Activities'!G10+'Stmt Activities'!G15+'Stmt Activities'!G23+'Stmt Activities'!G51</f>
        <v>694000</v>
      </c>
      <c r="F60" s="237"/>
      <c r="G60" s="240" t="e">
        <f>'Stmt Activities'!I10+'Stmt Activities'!I15+'Stmt Activities'!I23+'Stmt Activities'!I51</f>
        <v>#REF!</v>
      </c>
      <c r="H60" s="237"/>
      <c r="I60" s="240" t="e">
        <f>'Stmt Activities'!#REF!+'Stmt Activities'!#REF!+'Stmt Activities'!#REF!+'Stmt Activities'!#REF!</f>
        <v>#REF!</v>
      </c>
      <c r="J60" s="237"/>
      <c r="K60" s="240" t="e">
        <f>'Stmt Activities'!#REF!+'Stmt Activities'!#REF!+'Stmt Activities'!#REF!+'Stmt Activities'!#REF!</f>
        <v>#REF!</v>
      </c>
      <c r="L60" s="237"/>
      <c r="M60" s="240">
        <f>'Stmt Activities'!K10+'Stmt Activities'!K15+'Stmt Activities'!K23+'Stmt Activities'!K51</f>
        <v>743120</v>
      </c>
      <c r="N60" s="237"/>
      <c r="O60" s="240" t="e">
        <f>'Stmt Activities'!M10+'Stmt Activities'!M15+'Stmt Activities'!M23+'Stmt Activities'!M51</f>
        <v>#REF!</v>
      </c>
      <c r="P60" s="240"/>
      <c r="Q60" s="174">
        <f>RATE(2005-2003,0,-E60,M60)</f>
        <v>3.4784082783799422E-2</v>
      </c>
      <c r="R60" s="278" t="e">
        <f>(M60-G60)/ABS(G60)</f>
        <v>#REF!</v>
      </c>
    </row>
    <row r="61" spans="1:18" x14ac:dyDescent="0.2">
      <c r="A61" s="139">
        <v>37</v>
      </c>
      <c r="B61" s="190" t="s">
        <v>325</v>
      </c>
      <c r="C61" s="231">
        <f>'Stmt Activities'!E26+'Stmt Activities'!E27</f>
        <v>547000</v>
      </c>
      <c r="D61" s="231"/>
      <c r="E61" s="231">
        <f>'Stmt Activities'!G26+'Stmt Activities'!G27</f>
        <v>300000</v>
      </c>
      <c r="F61" s="231"/>
      <c r="G61" s="231" t="e">
        <f>'Stmt Activities'!I26+'Stmt Activities'!I27</f>
        <v>#REF!</v>
      </c>
      <c r="H61" s="231"/>
      <c r="I61" s="231" t="e">
        <f>'Stmt Activities'!#REF!+'Stmt Activities'!#REF!</f>
        <v>#REF!</v>
      </c>
      <c r="J61" s="231"/>
      <c r="K61" s="231" t="e">
        <f>'Stmt Activities'!#REF!+'Stmt Activities'!#REF!</f>
        <v>#REF!</v>
      </c>
      <c r="L61" s="231"/>
      <c r="M61" s="231">
        <f>'Stmt Activities'!K26+'Stmt Activities'!K27</f>
        <v>550000</v>
      </c>
      <c r="N61" s="231"/>
      <c r="O61" s="231" t="e">
        <f>'Stmt Activities'!M26+'Stmt Activities'!M27</f>
        <v>#REF!</v>
      </c>
      <c r="P61" s="231"/>
      <c r="Q61" s="174">
        <f>RATE(2005-2003,0,-E61,M61)</f>
        <v>0.3540064007726601</v>
      </c>
      <c r="R61" s="278" t="e">
        <f>(M61-G61)/ABS(G61)</f>
        <v>#REF!</v>
      </c>
    </row>
    <row r="62" spans="1:18" x14ac:dyDescent="0.2">
      <c r="A62" s="139">
        <v>38</v>
      </c>
      <c r="B62" s="190" t="s">
        <v>290</v>
      </c>
      <c r="C62" s="231">
        <f>INPUT!E98-INPUT!E94</f>
        <v>823750</v>
      </c>
      <c r="D62" s="165"/>
      <c r="E62" s="231">
        <f>INPUT!G98-INPUT!G94</f>
        <v>1135000</v>
      </c>
      <c r="F62" s="165"/>
      <c r="G62" s="231" t="e">
        <f>INPUT!#REF!-INPUT!#REF!</f>
        <v>#REF!</v>
      </c>
      <c r="H62" s="165"/>
      <c r="I62" s="231" t="e">
        <f>INPUT!#REF!-INPUT!#REF!</f>
        <v>#REF!</v>
      </c>
      <c r="J62" s="165"/>
      <c r="K62" s="231" t="e">
        <f>INPUT!#REF!-INPUT!#REF!</f>
        <v>#REF!</v>
      </c>
      <c r="L62" s="165"/>
      <c r="M62" s="231">
        <f>INPUT!I98-INPUT!I94</f>
        <v>1340370</v>
      </c>
      <c r="N62" s="165"/>
      <c r="O62" s="231" t="e">
        <f>INPUT!#REF!-INPUT!#REF!</f>
        <v>#REF!</v>
      </c>
      <c r="P62" s="231"/>
      <c r="Q62" s="174">
        <f>RATE(2005-2003,0,-E62,M62)</f>
        <v>8.6711889728612906E-2</v>
      </c>
      <c r="R62" s="278" t="e">
        <f>(M62-G62)/ABS(G62)</f>
        <v>#REF!</v>
      </c>
    </row>
    <row r="63" spans="1:18" ht="6" customHeight="1" x14ac:dyDescent="0.2">
      <c r="B63" s="191"/>
      <c r="C63" s="150"/>
      <c r="D63" s="148"/>
      <c r="E63" s="150"/>
      <c r="F63" s="148"/>
      <c r="G63" s="150"/>
      <c r="H63" s="148"/>
      <c r="I63" s="150"/>
      <c r="J63" s="148"/>
      <c r="K63" s="150"/>
      <c r="L63" s="148"/>
      <c r="M63" s="150"/>
      <c r="N63" s="148"/>
      <c r="O63" s="150"/>
      <c r="P63" s="150"/>
      <c r="Q63" s="192"/>
      <c r="R63" s="279"/>
    </row>
    <row r="64" spans="1:18" x14ac:dyDescent="0.2">
      <c r="A64" s="139">
        <v>39</v>
      </c>
      <c r="B64" s="190" t="s">
        <v>50</v>
      </c>
      <c r="C64" s="176">
        <f>'Stmt Activities'!E46</f>
        <v>264000</v>
      </c>
      <c r="D64" s="165"/>
      <c r="E64" s="176">
        <f>'Stmt Activities'!G46</f>
        <v>-91000</v>
      </c>
      <c r="F64" s="165"/>
      <c r="G64" s="176" t="e">
        <f>'Stmt Activities'!I46</f>
        <v>#REF!</v>
      </c>
      <c r="H64" s="165"/>
      <c r="I64" s="176" t="e">
        <f>'Stmt Activities'!#REF!</f>
        <v>#REF!</v>
      </c>
      <c r="J64" s="165"/>
      <c r="K64" s="176" t="e">
        <f>'Stmt Activities'!#REF!</f>
        <v>#REF!</v>
      </c>
      <c r="L64" s="165"/>
      <c r="M64" s="176">
        <f>'Stmt Activities'!K46</f>
        <v>52750</v>
      </c>
      <c r="N64" s="165"/>
      <c r="O64" s="176" t="e">
        <f>'Stmt Activities'!M46</f>
        <v>#REF!</v>
      </c>
      <c r="P64" s="176"/>
      <c r="Q64" s="174"/>
      <c r="R64" s="278"/>
    </row>
    <row r="65" spans="1:18" x14ac:dyDescent="0.2">
      <c r="A65" s="139">
        <v>40</v>
      </c>
      <c r="B65" s="190" t="s">
        <v>109</v>
      </c>
      <c r="C65" s="177">
        <f>C60/C62</f>
        <v>0.65644916540212439</v>
      </c>
      <c r="D65" s="165"/>
      <c r="E65" s="177">
        <f>E60/E62</f>
        <v>0.61145374449339207</v>
      </c>
      <c r="F65" s="165"/>
      <c r="G65" s="177" t="e">
        <f>G60/G62</f>
        <v>#REF!</v>
      </c>
      <c r="H65" s="165"/>
      <c r="I65" s="177" t="e">
        <f>I60/I62</f>
        <v>#REF!</v>
      </c>
      <c r="J65" s="165"/>
      <c r="K65" s="177" t="e">
        <f>K60/K62</f>
        <v>#REF!</v>
      </c>
      <c r="L65" s="165"/>
      <c r="M65" s="177">
        <f>M60/M62</f>
        <v>0.5544140796944127</v>
      </c>
      <c r="N65" s="165"/>
      <c r="O65" s="177" t="e">
        <f>O60/O62</f>
        <v>#REF!</v>
      </c>
      <c r="P65" s="177"/>
      <c r="Q65" s="174"/>
      <c r="R65" s="278"/>
    </row>
    <row r="66" spans="1:18" ht="25.5" x14ac:dyDescent="0.2">
      <c r="A66" s="139">
        <v>42</v>
      </c>
      <c r="B66" s="257" t="s">
        <v>315</v>
      </c>
      <c r="C66" s="252">
        <f>'Stmt Activities'!E10/(('Stmt Position'!E7+'Stmt Position'!A7)/2+('Stmt Position'!A21+'Stmt Position'!E21)/2+(C29+A29)/2)</f>
        <v>5.3227332986808935E-2</v>
      </c>
      <c r="D66" s="150"/>
      <c r="E66" s="252" t="e">
        <f>'Stmt Activities'!G10/(('Stmt Position'!G7+'Stmt Position'!E7)/2+('Stmt Position'!E21+'Stmt Position'!G21)/2+(E29+C29)/2)</f>
        <v>#REF!</v>
      </c>
      <c r="F66" s="253"/>
      <c r="G66" s="252" t="e">
        <f>'Stmt Activities'!I10/(('Stmt Position'!#REF!+'Stmt Position'!G7)/2+('Stmt Position'!G21+'Stmt Position'!#REF!)/2+(G29+E29)/2)</f>
        <v>#REF!</v>
      </c>
      <c r="H66" s="253"/>
      <c r="I66" s="252" t="e">
        <f>'Stmt Activities'!#REF!/(('Stmt Position'!#REF!+'Stmt Position'!#REF!)/2+('Stmt Position'!#REF!+'Stmt Position'!#REF!)/2+(I29+G29)/2)</f>
        <v>#REF!</v>
      </c>
      <c r="J66" s="253"/>
      <c r="K66" s="252" t="e">
        <f>'Stmt Activities'!#REF!/(('Stmt Position'!#REF!+'Stmt Position'!#REF!)/2+('Stmt Position'!#REF!+'Stmt Position'!#REF!)/2+(K29+I29)/2)</f>
        <v>#REF!</v>
      </c>
      <c r="L66" s="253"/>
      <c r="M66" s="252" t="e">
        <f>'Stmt Activities'!K10/(('Stmt Position'!I7+'Stmt Position'!#REF!)/2+('Stmt Position'!#REF!+'Stmt Position'!I21)/2+(M29+K29)/2)</f>
        <v>#REF!</v>
      </c>
      <c r="N66" s="253"/>
      <c r="O66" s="252" t="e">
        <f>'Stmt Activities'!M10/(('Stmt Position'!K7+'Stmt Position'!I7)/2+('Stmt Position'!I21+'Stmt Position'!K21)/2+(O29+M29)/2)</f>
        <v>#REF!</v>
      </c>
      <c r="P66" s="252"/>
      <c r="Q66" s="192"/>
      <c r="R66" s="279"/>
    </row>
    <row r="67" spans="1:18" x14ac:dyDescent="0.2">
      <c r="A67" s="139">
        <v>43</v>
      </c>
      <c r="B67" s="263" t="s">
        <v>316</v>
      </c>
      <c r="C67" s="201">
        <f>-'Stmt Activities'!E11/(('Ratios '!C18+A18)/2)</f>
        <v>3.8709552549830481E-2</v>
      </c>
      <c r="D67" s="150"/>
      <c r="E67" s="201">
        <f>-'Stmt Activities'!G11/(('Ratios '!E18+C18)/2)</f>
        <v>2.2727272727272728E-2</v>
      </c>
      <c r="F67" s="150"/>
      <c r="G67" s="201" t="e">
        <f>-'Stmt Activities'!I11/(('Ratios '!G18+E18)/2)</f>
        <v>#REF!</v>
      </c>
      <c r="H67" s="150"/>
      <c r="I67" s="201" t="e">
        <f>-'Stmt Activities'!#REF!/(('Ratios '!I18+G18)/2)</f>
        <v>#REF!</v>
      </c>
      <c r="J67" s="150"/>
      <c r="K67" s="201" t="e">
        <f>-'Stmt Activities'!#REF!/(('Ratios '!K18+I18)/2)</f>
        <v>#REF!</v>
      </c>
      <c r="L67" s="150"/>
      <c r="M67" s="201" t="e">
        <f>-'Stmt Activities'!K11/(('Ratios '!M18+K18)/2)</f>
        <v>#REF!</v>
      </c>
      <c r="N67" s="150"/>
      <c r="O67" s="201" t="e">
        <f>-'Stmt Activities'!M11/(('Ratios '!O18+M18)/2)</f>
        <v>#REF!</v>
      </c>
      <c r="P67" s="201"/>
      <c r="Q67" s="192"/>
      <c r="R67" s="279"/>
    </row>
    <row r="68" spans="1:18" x14ac:dyDescent="0.2">
      <c r="A68" s="139">
        <v>44</v>
      </c>
      <c r="B68" s="264" t="s">
        <v>90</v>
      </c>
      <c r="C68" s="254">
        <f>C66-C67</f>
        <v>1.4517780436978454E-2</v>
      </c>
      <c r="D68" s="247"/>
      <c r="E68" s="254" t="e">
        <f>E66-E67</f>
        <v>#REF!</v>
      </c>
      <c r="F68" s="247"/>
      <c r="G68" s="254" t="e">
        <f>G66-G67</f>
        <v>#REF!</v>
      </c>
      <c r="H68" s="247"/>
      <c r="I68" s="254" t="e">
        <f>I66-I67</f>
        <v>#REF!</v>
      </c>
      <c r="J68" s="247"/>
      <c r="K68" s="254" t="e">
        <f>K66-K67</f>
        <v>#REF!</v>
      </c>
      <c r="L68" s="247"/>
      <c r="M68" s="254" t="e">
        <f>M66-M67</f>
        <v>#REF!</v>
      </c>
      <c r="N68" s="247"/>
      <c r="O68" s="254" t="e">
        <f>O66-O67</f>
        <v>#REF!</v>
      </c>
      <c r="P68" s="254"/>
      <c r="Q68" s="197"/>
      <c r="R68" s="284"/>
    </row>
    <row r="70" spans="1:18" x14ac:dyDescent="0.2">
      <c r="B70" s="185" t="s">
        <v>77</v>
      </c>
      <c r="C70" s="144"/>
      <c r="D70" s="144"/>
      <c r="E70" s="144"/>
      <c r="F70" s="144"/>
      <c r="G70" s="144"/>
      <c r="H70" s="144"/>
      <c r="I70" s="144"/>
      <c r="J70" s="144"/>
      <c r="K70" s="144"/>
      <c r="L70" s="144"/>
      <c r="M70" s="144"/>
      <c r="N70" s="144"/>
      <c r="O70" s="144"/>
      <c r="P70" s="144"/>
      <c r="Q70" s="186"/>
      <c r="R70" s="277"/>
    </row>
    <row r="71" spans="1:18" x14ac:dyDescent="0.2">
      <c r="A71" s="139">
        <v>45</v>
      </c>
      <c r="B71" s="193" t="s">
        <v>262</v>
      </c>
      <c r="C71" s="201">
        <f>INPUT!E18/INPUT!E29</f>
        <v>0.53040994623655913</v>
      </c>
      <c r="D71" s="150"/>
      <c r="E71" s="201">
        <f>INPUT!G18/INPUT!G29</f>
        <v>0.5226174791392183</v>
      </c>
      <c r="F71" s="150"/>
      <c r="G71" s="201" t="e">
        <f>INPUT!#REF!/INPUT!#REF!</f>
        <v>#REF!</v>
      </c>
      <c r="H71" s="150"/>
      <c r="I71" s="201" t="e">
        <f>INPUT!#REF!/INPUT!#REF!</f>
        <v>#REF!</v>
      </c>
      <c r="J71" s="150"/>
      <c r="K71" s="201" t="e">
        <f>INPUT!#REF!/INPUT!#REF!</f>
        <v>#REF!</v>
      </c>
      <c r="L71" s="150"/>
      <c r="M71" s="201">
        <f>INPUT!I18/INPUT!I29</f>
        <v>0.61251123717412193</v>
      </c>
      <c r="N71" s="150"/>
      <c r="O71" s="201" t="e">
        <f>INPUT!#REF!/INPUT!#REF!</f>
        <v>#REF!</v>
      </c>
      <c r="P71" s="201"/>
      <c r="Q71" s="192"/>
      <c r="R71" s="279"/>
    </row>
    <row r="72" spans="1:18" ht="14.25" customHeight="1" x14ac:dyDescent="0.2">
      <c r="A72" s="139">
        <v>46</v>
      </c>
      <c r="B72" s="196" t="s">
        <v>275</v>
      </c>
      <c r="C72" s="265">
        <f>INPUT!E18/INPUT!E40</f>
        <v>3.0210526315789474</v>
      </c>
      <c r="D72" s="155"/>
      <c r="E72" s="265">
        <f>INPUT!G18/INPUT!G40</f>
        <v>2.1768292682926829</v>
      </c>
      <c r="F72" s="155"/>
      <c r="G72" s="265" t="e">
        <f>INPUT!#REF!/INPUT!#REF!</f>
        <v>#REF!</v>
      </c>
      <c r="H72" s="155"/>
      <c r="I72" s="265" t="e">
        <f>INPUT!#REF!/INPUT!#REF!</f>
        <v>#REF!</v>
      </c>
      <c r="J72" s="155"/>
      <c r="K72" s="265" t="e">
        <f>INPUT!#REF!/INPUT!#REF!</f>
        <v>#REF!</v>
      </c>
      <c r="L72" s="155"/>
      <c r="M72" s="265">
        <f>INPUT!I18/INPUT!I40</f>
        <v>2.6759209100758397</v>
      </c>
      <c r="N72" s="155"/>
      <c r="O72" s="265" t="e">
        <f>INPUT!#REF!/INPUT!#REF!</f>
        <v>#REF!</v>
      </c>
      <c r="P72" s="265"/>
      <c r="Q72" s="197"/>
      <c r="R72" s="284"/>
    </row>
    <row r="73" spans="1:18" hidden="1" x14ac:dyDescent="0.2">
      <c r="A73" s="139">
        <v>47</v>
      </c>
      <c r="B73" s="196" t="s">
        <v>289</v>
      </c>
      <c r="C73" s="246">
        <f>INPUT!E52/'Ratios '!C62/12</f>
        <v>0.15498229640870007</v>
      </c>
      <c r="D73" s="155"/>
      <c r="E73" s="246">
        <f>INPUT!G52/'Ratios '!E62/12</f>
        <v>0.12782672540381793</v>
      </c>
      <c r="F73" s="155"/>
      <c r="G73" s="246" t="e">
        <f>INPUT!#REF!/'Ratios '!G62/12</f>
        <v>#REF!</v>
      </c>
      <c r="H73" s="155"/>
      <c r="I73" s="246" t="e">
        <f>INPUT!#REF!/'Ratios '!I62/12</f>
        <v>#REF!</v>
      </c>
      <c r="J73" s="155"/>
      <c r="K73" s="246" t="e">
        <f>INPUT!#REF!/'Ratios '!K62/12</f>
        <v>#REF!</v>
      </c>
      <c r="L73" s="155"/>
      <c r="M73" s="246">
        <f>INPUT!I52/'Ratios '!M62/12</f>
        <v>8.9760663100487179E-2</v>
      </c>
      <c r="N73" s="155"/>
      <c r="O73" s="246" t="e">
        <f>INPUT!#REF!/'Ratios '!O62/12</f>
        <v>#REF!</v>
      </c>
      <c r="P73" s="246"/>
      <c r="Q73" s="197"/>
      <c r="R73" s="284"/>
    </row>
    <row r="75" spans="1:18" x14ac:dyDescent="0.2">
      <c r="B75" s="185" t="s">
        <v>288</v>
      </c>
      <c r="C75" s="144"/>
      <c r="D75" s="144"/>
      <c r="E75" s="144"/>
      <c r="F75" s="144"/>
      <c r="G75" s="144"/>
      <c r="H75" s="144"/>
      <c r="I75" s="144"/>
      <c r="J75" s="144"/>
      <c r="K75" s="144"/>
      <c r="L75" s="144"/>
      <c r="M75" s="144"/>
      <c r="N75" s="144"/>
      <c r="O75" s="144"/>
      <c r="P75" s="144"/>
      <c r="Q75" s="186"/>
      <c r="R75" s="277"/>
    </row>
    <row r="76" spans="1:18" ht="39" customHeight="1" x14ac:dyDescent="0.2">
      <c r="B76" s="772" t="s">
        <v>291</v>
      </c>
      <c r="C76" s="773"/>
      <c r="D76" s="773"/>
      <c r="E76" s="773"/>
      <c r="F76" s="773"/>
      <c r="G76" s="773"/>
      <c r="H76" s="773"/>
      <c r="I76" s="249"/>
      <c r="J76" s="249"/>
      <c r="K76" s="249"/>
      <c r="L76" s="249"/>
      <c r="M76" s="249"/>
      <c r="N76" s="249"/>
      <c r="O76" s="249"/>
      <c r="P76" s="249"/>
      <c r="Q76" s="249"/>
      <c r="R76" s="284"/>
    </row>
    <row r="78" spans="1:18" x14ac:dyDescent="0.2">
      <c r="B78" s="774" t="s">
        <v>326</v>
      </c>
      <c r="C78" s="775"/>
    </row>
    <row r="79" spans="1:18" x14ac:dyDescent="0.2">
      <c r="Q79" s="161"/>
      <c r="R79" s="281"/>
    </row>
    <row r="80" spans="1:18" ht="14.25" customHeight="1" x14ac:dyDescent="0.2">
      <c r="Q80" s="161"/>
      <c r="R80" s="281"/>
    </row>
    <row r="81" spans="2:2" x14ac:dyDescent="0.2">
      <c r="B81" s="139"/>
    </row>
    <row r="82" spans="2:2" x14ac:dyDescent="0.2">
      <c r="B82" s="139"/>
    </row>
  </sheetData>
  <mergeCells count="2">
    <mergeCell ref="B76:H76"/>
    <mergeCell ref="B78:C78"/>
  </mergeCells>
  <phoneticPr fontId="21" type="noConversion"/>
  <pageMargins left="0.5" right="0.5" top="0.5" bottom="0.5" header="0.5" footer="0.5"/>
  <pageSetup scale="76"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3"/>
  </sheetPr>
  <dimension ref="A1:CR164"/>
  <sheetViews>
    <sheetView view="pageBreakPreview" zoomScaleNormal="75" zoomScaleSheetLayoutView="100" workbookViewId="0">
      <pane xSplit="2" ySplit="3" topLeftCell="C112" activePane="bottomRight" state="frozen"/>
      <selection activeCell="A138" sqref="A138"/>
      <selection pane="topRight" activeCell="A138" sqref="A138"/>
      <selection pane="bottomLeft" activeCell="A138" sqref="A138"/>
      <selection pane="bottomRight" activeCell="M123" sqref="M123:M124"/>
    </sheetView>
  </sheetViews>
  <sheetFormatPr defaultRowHeight="12.75" x14ac:dyDescent="0.2"/>
  <cols>
    <col min="1" max="1" width="25" customWidth="1"/>
    <col min="2" max="2" width="48" style="5" customWidth="1"/>
    <col min="3" max="3" width="15.83203125" style="5" customWidth="1"/>
    <col min="4" max="4" width="7.83203125" customWidth="1"/>
    <col min="5" max="5" width="15.83203125" style="5" customWidth="1"/>
    <col min="6" max="6" width="7.83203125" customWidth="1"/>
    <col min="7" max="7" width="12.83203125" style="5" customWidth="1"/>
    <col min="8" max="8" width="7.83203125" style="362" hidden="1" customWidth="1"/>
    <col min="9" max="9" width="12.83203125" style="5" customWidth="1"/>
    <col min="10" max="10" width="6.83203125" style="362" customWidth="1"/>
    <col min="11" max="11" width="12.83203125" style="5" customWidth="1"/>
    <col min="12" max="12" width="6.83203125" style="362" customWidth="1"/>
    <col min="13" max="13" width="12.83203125" style="5" customWidth="1"/>
    <col min="14" max="14" width="6.83203125" style="362" customWidth="1"/>
    <col min="15" max="15" width="11.83203125" style="358" customWidth="1"/>
  </cols>
  <sheetData>
    <row r="1" spans="1:96" x14ac:dyDescent="0.2">
      <c r="A1" s="358" t="s">
        <v>371</v>
      </c>
      <c r="B1" s="6"/>
      <c r="C1" s="3"/>
      <c r="D1" s="3"/>
      <c r="E1" s="3"/>
      <c r="F1" s="3"/>
      <c r="G1" s="3"/>
      <c r="H1" s="359"/>
      <c r="I1" s="3"/>
      <c r="J1" s="359"/>
      <c r="K1" s="3"/>
      <c r="L1" s="359"/>
      <c r="M1" s="3"/>
      <c r="N1" s="359"/>
    </row>
    <row r="2" spans="1:96" x14ac:dyDescent="0.2">
      <c r="B2" s="550"/>
      <c r="C2" s="42" t="s">
        <v>333</v>
      </c>
      <c r="D2" s="44"/>
      <c r="E2" s="42" t="s">
        <v>333</v>
      </c>
      <c r="F2" s="44"/>
      <c r="G2" s="42" t="s">
        <v>333</v>
      </c>
      <c r="H2" s="360"/>
      <c r="I2" s="42" t="s">
        <v>333</v>
      </c>
      <c r="J2" s="360"/>
      <c r="K2" s="42" t="s">
        <v>333</v>
      </c>
      <c r="L2" s="360"/>
      <c r="M2" s="42" t="s">
        <v>301</v>
      </c>
      <c r="N2" s="360"/>
      <c r="O2" s="410" t="s">
        <v>355</v>
      </c>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row>
    <row r="3" spans="1:96" s="41" customFormat="1" ht="18" x14ac:dyDescent="0.25">
      <c r="A3" s="624" t="str">
        <f>INPUT!B2</f>
        <v>SAMPLE</v>
      </c>
      <c r="B3" s="249"/>
      <c r="C3" s="250">
        <f>INPUT!C5</f>
        <v>40908</v>
      </c>
      <c r="D3" s="251"/>
      <c r="E3" s="250">
        <f>INPUT!E5</f>
        <v>41274</v>
      </c>
      <c r="F3" s="251" t="s">
        <v>0</v>
      </c>
      <c r="G3" s="250">
        <f>INPUT!G5</f>
        <v>41639</v>
      </c>
      <c r="H3" s="361" t="s">
        <v>0</v>
      </c>
      <c r="I3" s="250" t="e">
        <f>INPUT!#REF!</f>
        <v>#REF!</v>
      </c>
      <c r="J3" s="361" t="s">
        <v>0</v>
      </c>
      <c r="K3" s="250">
        <f>INPUT!I5</f>
        <v>42004</v>
      </c>
      <c r="L3" s="361" t="s">
        <v>0</v>
      </c>
      <c r="M3" s="250" t="e">
        <f>INPUT!#REF!</f>
        <v>#REF!</v>
      </c>
      <c r="N3" s="361" t="s">
        <v>0</v>
      </c>
      <c r="O3" s="411" t="s">
        <v>387</v>
      </c>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row>
    <row r="5" spans="1:96" ht="15.75" x14ac:dyDescent="0.25">
      <c r="A5" s="339" t="s">
        <v>13</v>
      </c>
      <c r="C5" s="6"/>
      <c r="E5" s="6"/>
      <c r="G5" s="6"/>
      <c r="I5" s="6"/>
      <c r="K5" s="6"/>
      <c r="M5" s="6"/>
      <c r="P5" s="340"/>
    </row>
    <row r="6" spans="1:96" x14ac:dyDescent="0.2">
      <c r="B6" s="7"/>
      <c r="C6" s="6"/>
      <c r="E6" s="6"/>
      <c r="G6" s="6"/>
      <c r="I6" s="6"/>
      <c r="K6" s="6"/>
      <c r="M6" s="6"/>
    </row>
    <row r="7" spans="1:96" x14ac:dyDescent="0.2">
      <c r="A7" s="424" t="s">
        <v>153</v>
      </c>
      <c r="B7" s="341" t="s">
        <v>114</v>
      </c>
      <c r="C7" s="18">
        <f>'Stmt Position'!C32</f>
        <v>4796000</v>
      </c>
      <c r="D7" s="18"/>
      <c r="E7" s="18">
        <f>'Stmt Position'!E32</f>
        <v>5777000</v>
      </c>
      <c r="F7" s="271">
        <f>(E7-C7)/ABS(C7)</f>
        <v>0.20454545454545456</v>
      </c>
      <c r="G7" s="18">
        <f>'Stmt Position'!G32</f>
        <v>6656000</v>
      </c>
      <c r="H7" s="363">
        <f>(G7-E7)/ABS(E7)</f>
        <v>0.15215509780162714</v>
      </c>
      <c r="I7" s="18" t="e">
        <f>'Stmt Position'!#REF!</f>
        <v>#REF!</v>
      </c>
      <c r="J7" s="363" t="e">
        <f>(I7-G7)/ABS(G7)</f>
        <v>#REF!</v>
      </c>
      <c r="K7" s="18">
        <f>'Stmt Position'!I32</f>
        <v>8064750</v>
      </c>
      <c r="L7" s="363" t="e">
        <f>(K7-I7)/ABS(I7)</f>
        <v>#REF!</v>
      </c>
      <c r="M7" s="18" t="e">
        <f>'Stmt Position'!K32</f>
        <v>#REF!</v>
      </c>
      <c r="N7" s="363" t="e">
        <f>(M7-K7)/ABS(K7)</f>
        <v>#REF!</v>
      </c>
      <c r="O7" s="425">
        <f>RATE(2006-2004,0,-G7,K7)</f>
        <v>0.10075026315096691</v>
      </c>
    </row>
    <row r="8" spans="1:96" ht="12" customHeight="1" x14ac:dyDescent="0.2">
      <c r="A8" s="12"/>
      <c r="B8" s="341" t="s">
        <v>14</v>
      </c>
      <c r="C8" s="19">
        <f>'Stmt Position'!C56+'Stmt Position'!C57+'Stmt Position'!C58</f>
        <v>1468000</v>
      </c>
      <c r="D8" s="269"/>
      <c r="E8" s="19">
        <f>'Stmt Position'!E56+'Stmt Position'!E57+'Stmt Position'!E58</f>
        <v>1532000</v>
      </c>
      <c r="F8" s="271">
        <f t="shared" ref="F8:J9" si="0">(E8-C8)/ABS(C8)</f>
        <v>4.3596730245231606E-2</v>
      </c>
      <c r="G8" s="19">
        <f>'Stmt Position'!G56+'Stmt Position'!G57+'Stmt Position'!G58</f>
        <v>1741000</v>
      </c>
      <c r="H8" s="363">
        <f t="shared" si="0"/>
        <v>0.13642297650130547</v>
      </c>
      <c r="I8" s="19" t="e">
        <f>'Stmt Position'!#REF!+'Stmt Position'!#REF!+'Stmt Position'!#REF!</f>
        <v>#REF!</v>
      </c>
      <c r="J8" s="363" t="e">
        <f t="shared" si="0"/>
        <v>#REF!</v>
      </c>
      <c r="K8" s="19">
        <f>'Stmt Position'!I56+'Stmt Position'!I57+'Stmt Position'!I58</f>
        <v>1443750</v>
      </c>
      <c r="L8" s="363" t="e">
        <f>(K8-I8)/ABS(I8)</f>
        <v>#REF!</v>
      </c>
      <c r="M8" s="19" t="e">
        <f>'Stmt Position'!K56+'Stmt Position'!K57+'Stmt Position'!K58</f>
        <v>#REF!</v>
      </c>
      <c r="N8" s="363" t="e">
        <f>(M8-K8)/ABS(K8)</f>
        <v>#REF!</v>
      </c>
      <c r="O8" s="425">
        <f>RATE(2006-2004,0,-G8,K8)</f>
        <v>-8.9360230195071444E-2</v>
      </c>
    </row>
    <row r="9" spans="1:96" x14ac:dyDescent="0.2">
      <c r="A9" s="12"/>
      <c r="B9" s="341" t="s">
        <v>442</v>
      </c>
      <c r="C9" s="19">
        <f>'Stmt Position'!C59+'Stmt Position'!C60</f>
        <v>500000</v>
      </c>
      <c r="D9" s="342"/>
      <c r="E9" s="19">
        <f>'Stmt Position'!E59+'Stmt Position'!E60</f>
        <v>800000</v>
      </c>
      <c r="F9" s="271">
        <f t="shared" si="0"/>
        <v>0.6</v>
      </c>
      <c r="G9" s="19">
        <f>'Stmt Position'!G59+'Stmt Position'!G60+'Stmt Position'!G61+'Stmt Position'!G62</f>
        <v>700000</v>
      </c>
      <c r="H9" s="363">
        <f t="shared" si="0"/>
        <v>-0.125</v>
      </c>
      <c r="I9" s="19" t="e">
        <f>'Stmt Position'!#REF!+'Stmt Position'!#REF!+'Stmt Position'!#REF!+'Stmt Position'!#REF!</f>
        <v>#REF!</v>
      </c>
      <c r="J9" s="363" t="e">
        <f t="shared" si="0"/>
        <v>#REF!</v>
      </c>
      <c r="K9" s="19">
        <f>'Stmt Position'!I59+'Stmt Position'!I60+'Stmt Position'!I61+'Stmt Position'!I62</f>
        <v>1000000</v>
      </c>
      <c r="L9" s="363" t="e">
        <f>(K9-I9)/ABS(I9)</f>
        <v>#REF!</v>
      </c>
      <c r="M9" s="19" t="e">
        <f>'Stmt Position'!K59+'Stmt Position'!K60+'Stmt Position'!K61+'Stmt Position'!K62</f>
        <v>#REF!</v>
      </c>
      <c r="N9" s="363" t="e">
        <f>(M9-K9)/ABS(K9)</f>
        <v>#REF!</v>
      </c>
      <c r="O9" s="425">
        <f>RATE(2006-2004,0,-G9,K9)</f>
        <v>0.19522860933439365</v>
      </c>
    </row>
    <row r="10" spans="1:96" x14ac:dyDescent="0.2">
      <c r="A10" s="12"/>
      <c r="B10" s="341" t="s">
        <v>443</v>
      </c>
      <c r="C10" s="19">
        <f>'Stmt Position'!C63</f>
        <v>0</v>
      </c>
      <c r="D10" s="49"/>
      <c r="E10" s="19">
        <f>'Stmt Position'!E63</f>
        <v>0</v>
      </c>
      <c r="F10" s="343"/>
      <c r="G10" s="19">
        <f>'Stmt Position'!G63</f>
        <v>0</v>
      </c>
      <c r="H10" s="364"/>
      <c r="I10" s="19" t="e">
        <f>'Stmt Position'!#REF!</f>
        <v>#REF!</v>
      </c>
      <c r="J10" s="364"/>
      <c r="K10" s="19">
        <f>'Stmt Position'!I63</f>
        <v>0</v>
      </c>
      <c r="L10" s="363" t="e">
        <f>(K10-I10)/ABS(I10)</f>
        <v>#REF!</v>
      </c>
      <c r="M10" s="19" t="e">
        <f>'Stmt Position'!K63</f>
        <v>#REF!</v>
      </c>
      <c r="N10" s="363" t="e">
        <f>(M10-K10)/ABS(K10)</f>
        <v>#REF!</v>
      </c>
      <c r="O10" s="425" t="e">
        <f>RATE(2006-2004,0,-G10,K10)</f>
        <v>#NUM!</v>
      </c>
    </row>
    <row r="11" spans="1:96" x14ac:dyDescent="0.2">
      <c r="A11" s="12"/>
      <c r="B11" s="341" t="s">
        <v>12</v>
      </c>
      <c r="C11" s="19">
        <f>'Stmt Position'!C64</f>
        <v>1968000</v>
      </c>
      <c r="D11" s="269"/>
      <c r="E11" s="19">
        <f>'Stmt Position'!E64</f>
        <v>2332000</v>
      </c>
      <c r="F11" s="271">
        <f>(E11-C11)/ABS(C11)</f>
        <v>0.18495934959349594</v>
      </c>
      <c r="G11" s="19">
        <f>'Stmt Position'!G64</f>
        <v>2441000</v>
      </c>
      <c r="H11" s="363">
        <f>(G11-E11)/ABS(E11)</f>
        <v>4.6740994854202404E-2</v>
      </c>
      <c r="I11" s="19" t="e">
        <f>'Stmt Position'!#REF!</f>
        <v>#REF!</v>
      </c>
      <c r="J11" s="363" t="e">
        <f>(I11-G11)/ABS(G11)</f>
        <v>#REF!</v>
      </c>
      <c r="K11" s="19">
        <f>'Stmt Position'!I64</f>
        <v>2443750</v>
      </c>
      <c r="L11" s="363" t="e">
        <f>(K11-I11)/ABS(I11)</f>
        <v>#REF!</v>
      </c>
      <c r="M11" s="19" t="e">
        <f>'Stmt Position'!K64</f>
        <v>#REF!</v>
      </c>
      <c r="N11" s="363" t="e">
        <f>(M11-K11)/ABS(K11)</f>
        <v>#REF!</v>
      </c>
      <c r="O11" s="425">
        <f>RATE(2006-2004,0,-G11,K11)</f>
        <v>5.6313517146621306E-4</v>
      </c>
    </row>
    <row r="12" spans="1:96" x14ac:dyDescent="0.2">
      <c r="A12" s="12"/>
      <c r="B12" s="341"/>
      <c r="C12" s="269"/>
      <c r="D12" s="269"/>
      <c r="E12" s="269"/>
      <c r="F12" s="271"/>
      <c r="G12" s="269"/>
      <c r="H12" s="363"/>
      <c r="I12" s="269"/>
      <c r="J12" s="363"/>
      <c r="K12" s="269"/>
      <c r="L12" s="363"/>
      <c r="M12" s="269"/>
      <c r="N12" s="363"/>
      <c r="O12" s="425"/>
    </row>
    <row r="13" spans="1:96" x14ac:dyDescent="0.2">
      <c r="A13" s="12" t="s">
        <v>363</v>
      </c>
      <c r="B13" s="341" t="s">
        <v>15</v>
      </c>
      <c r="C13" s="347">
        <f>C11/C7</f>
        <v>0.41034195162635528</v>
      </c>
      <c r="D13" s="607"/>
      <c r="E13" s="347">
        <f>E11/E7</f>
        <v>0.40366972477064222</v>
      </c>
      <c r="F13" s="607"/>
      <c r="G13" s="347">
        <f>G11/G7</f>
        <v>0.36673677884615385</v>
      </c>
      <c r="H13" s="427"/>
      <c r="I13" s="347" t="e">
        <f>I11/I7</f>
        <v>#REF!</v>
      </c>
      <c r="J13" s="427"/>
      <c r="K13" s="347">
        <f>K11/K7</f>
        <v>0.30301621252983663</v>
      </c>
      <c r="L13" s="427"/>
      <c r="M13" s="347" t="e">
        <f>M11/M7</f>
        <v>#REF!</v>
      </c>
      <c r="N13" s="365"/>
      <c r="O13" s="412"/>
    </row>
    <row r="14" spans="1:96" x14ac:dyDescent="0.2">
      <c r="A14" s="12"/>
      <c r="B14" s="341" t="s">
        <v>16</v>
      </c>
      <c r="C14" s="347">
        <f>C8/C7</f>
        <v>0.30608840700583823</v>
      </c>
      <c r="D14" s="607"/>
      <c r="E14" s="347">
        <f>E8/E7</f>
        <v>0.26518954474640816</v>
      </c>
      <c r="F14" s="607"/>
      <c r="G14" s="347">
        <f>G8/G7</f>
        <v>0.26156850961538464</v>
      </c>
      <c r="H14" s="427"/>
      <c r="I14" s="347" t="e">
        <f>I8/I7</f>
        <v>#REF!</v>
      </c>
      <c r="J14" s="427"/>
      <c r="K14" s="347">
        <f>K8/K7</f>
        <v>0.17901980842555565</v>
      </c>
      <c r="L14" s="427"/>
      <c r="M14" s="347" t="e">
        <f>M8/M7</f>
        <v>#REF!</v>
      </c>
      <c r="N14" s="365"/>
      <c r="O14" s="412"/>
    </row>
    <row r="15" spans="1:96" s="25" customFormat="1" x14ac:dyDescent="0.2">
      <c r="A15" s="301"/>
      <c r="B15" s="345" t="s">
        <v>555</v>
      </c>
      <c r="C15" s="351">
        <f>(C11+'Stmt Position'!C48)/C7</f>
        <v>0.41034195162635528</v>
      </c>
      <c r="D15" s="405"/>
      <c r="E15" s="351">
        <f>(E11+'Stmt Position'!E48)/E7</f>
        <v>0.40366972477064222</v>
      </c>
      <c r="F15" s="405"/>
      <c r="G15" s="351">
        <f>(G11+'Stmt Position'!G48)/G7</f>
        <v>0.36673677884615385</v>
      </c>
      <c r="H15" s="427"/>
      <c r="I15" s="351" t="e">
        <f>(I11+'Stmt Position'!#REF!)/I7</f>
        <v>#REF!</v>
      </c>
      <c r="J15" s="427"/>
      <c r="K15" s="351">
        <f>(K11+'Stmt Position'!I48)/K7</f>
        <v>0.30301621252983663</v>
      </c>
      <c r="L15" s="427"/>
      <c r="M15" s="351" t="e">
        <f>(M11+'Stmt Position'!K48)/M7</f>
        <v>#REF!</v>
      </c>
      <c r="N15" s="365"/>
      <c r="O15" s="412"/>
    </row>
    <row r="16" spans="1:96" s="25" customFormat="1" x14ac:dyDescent="0.2">
      <c r="A16" s="301"/>
      <c r="B16" s="345"/>
      <c r="C16" s="351"/>
      <c r="D16" s="405"/>
      <c r="E16" s="351"/>
      <c r="F16" s="405"/>
      <c r="G16" s="351"/>
      <c r="H16" s="427"/>
      <c r="I16" s="351"/>
      <c r="J16" s="427"/>
      <c r="K16" s="351"/>
      <c r="L16" s="427"/>
      <c r="M16" s="351"/>
      <c r="N16" s="365"/>
      <c r="O16" s="412"/>
    </row>
    <row r="17" spans="1:15" s="25" customFormat="1" x14ac:dyDescent="0.2">
      <c r="A17" s="301" t="s">
        <v>427</v>
      </c>
      <c r="B17" s="345" t="s">
        <v>228</v>
      </c>
      <c r="C17" s="211">
        <f>'Stmt Position'!C38+'Stmt Position'!C46</f>
        <v>2750000</v>
      </c>
      <c r="D17" s="405"/>
      <c r="E17" s="211">
        <f>'Stmt Position'!E38+'Stmt Position'!E46</f>
        <v>3100000</v>
      </c>
      <c r="F17" s="405"/>
      <c r="G17" s="211">
        <f>'Stmt Position'!G38+'Stmt Position'!G46</f>
        <v>2500000</v>
      </c>
      <c r="H17" s="427"/>
      <c r="I17" s="211" t="e">
        <f>'Stmt Position'!#REF!+'Stmt Position'!#REF!</f>
        <v>#REF!</v>
      </c>
      <c r="J17" s="427"/>
      <c r="K17" s="211">
        <f>'Stmt Position'!I38+'Stmt Position'!I46</f>
        <v>4000000</v>
      </c>
      <c r="L17" s="427"/>
      <c r="M17" s="211" t="e">
        <f>'Stmt Position'!K38+'Stmt Position'!K46</f>
        <v>#REF!</v>
      </c>
      <c r="N17" s="365"/>
      <c r="O17" s="412"/>
    </row>
    <row r="18" spans="1:15" s="25" customFormat="1" x14ac:dyDescent="0.2">
      <c r="A18" s="301"/>
      <c r="B18" s="345" t="s">
        <v>361</v>
      </c>
      <c r="C18" s="211">
        <f>'Stmt Position'!C47</f>
        <v>0</v>
      </c>
      <c r="D18" s="405"/>
      <c r="E18" s="211">
        <f>'Stmt Position'!E47</f>
        <v>0</v>
      </c>
      <c r="F18" s="405"/>
      <c r="G18" s="211">
        <f>'Stmt Position'!G47</f>
        <v>1000000</v>
      </c>
      <c r="H18" s="427"/>
      <c r="I18" s="211" t="e">
        <f>'Stmt Position'!#REF!</f>
        <v>#REF!</v>
      </c>
      <c r="J18" s="427"/>
      <c r="K18" s="211">
        <f>'Stmt Position'!I47</f>
        <v>1125000</v>
      </c>
      <c r="L18" s="427"/>
      <c r="M18" s="211" t="e">
        <f>'Stmt Position'!K47</f>
        <v>#REF!</v>
      </c>
      <c r="N18" s="365"/>
      <c r="O18" s="412"/>
    </row>
    <row r="19" spans="1:15" s="25" customFormat="1" x14ac:dyDescent="0.2">
      <c r="A19" s="301"/>
      <c r="B19" s="345" t="s">
        <v>550</v>
      </c>
      <c r="C19" s="211">
        <f>'Stmt Position'!C48</f>
        <v>0</v>
      </c>
      <c r="D19" s="405"/>
      <c r="E19" s="211">
        <f>'Stmt Position'!E48</f>
        <v>0</v>
      </c>
      <c r="F19" s="405"/>
      <c r="G19" s="211">
        <f>'Stmt Position'!G48</f>
        <v>0</v>
      </c>
      <c r="H19" s="427"/>
      <c r="I19" s="211" t="e">
        <f>'Stmt Position'!#REF!</f>
        <v>#REF!</v>
      </c>
      <c r="J19" s="427"/>
      <c r="K19" s="211">
        <f>'Stmt Position'!I48</f>
        <v>0</v>
      </c>
      <c r="L19" s="427"/>
      <c r="M19" s="211" t="e">
        <f>'Stmt Position'!K48</f>
        <v>#REF!</v>
      </c>
      <c r="N19" s="365"/>
      <c r="O19" s="412"/>
    </row>
    <row r="20" spans="1:15" s="25" customFormat="1" x14ac:dyDescent="0.2">
      <c r="A20" s="301"/>
      <c r="B20" s="345" t="s">
        <v>249</v>
      </c>
      <c r="C20" s="211">
        <f>SUM(C17:C19)</f>
        <v>2750000</v>
      </c>
      <c r="D20" s="405"/>
      <c r="E20" s="211">
        <f>SUM(E17:E19)</f>
        <v>3100000</v>
      </c>
      <c r="F20" s="405"/>
      <c r="G20" s="211">
        <f>SUM(G17:G19)</f>
        <v>3500000</v>
      </c>
      <c r="H20" s="427"/>
      <c r="I20" s="211" t="e">
        <f>SUM(I17:I19)</f>
        <v>#REF!</v>
      </c>
      <c r="J20" s="427"/>
      <c r="K20" s="211">
        <f>SUM(K17:K19)</f>
        <v>5125000</v>
      </c>
      <c r="L20" s="427"/>
      <c r="M20" s="211" t="e">
        <f>SUM(M17:M19)</f>
        <v>#REF!</v>
      </c>
      <c r="N20" s="365"/>
      <c r="O20" s="412"/>
    </row>
    <row r="21" spans="1:15" s="25" customFormat="1" x14ac:dyDescent="0.2">
      <c r="A21" s="301"/>
      <c r="B21" s="345"/>
      <c r="C21" s="351"/>
      <c r="D21" s="405"/>
      <c r="E21" s="351"/>
      <c r="F21" s="405"/>
      <c r="G21" s="351"/>
      <c r="H21" s="427"/>
      <c r="I21" s="351"/>
      <c r="J21" s="427"/>
      <c r="K21" s="351"/>
      <c r="L21" s="427"/>
      <c r="M21" s="351"/>
      <c r="N21" s="365"/>
      <c r="O21" s="412"/>
    </row>
    <row r="22" spans="1:15" s="30" customFormat="1" x14ac:dyDescent="0.2">
      <c r="A22" s="390" t="s">
        <v>426</v>
      </c>
      <c r="B22" s="377" t="s">
        <v>346</v>
      </c>
      <c r="C22" s="602">
        <f>('Stmt Position'!C46+'Stmt Position'!C38)/'Stmt Position'!C32</f>
        <v>0.57339449541284404</v>
      </c>
      <c r="D22" s="602"/>
      <c r="E22" s="602">
        <f>('Stmt Position'!E46+'Stmt Position'!E38)/'Stmt Position'!E32</f>
        <v>0.53661069759390689</v>
      </c>
      <c r="F22" s="602"/>
      <c r="G22" s="602">
        <f>('Stmt Position'!G46+'Stmt Position'!G38)/'Stmt Position'!G32</f>
        <v>0.37560096153846156</v>
      </c>
      <c r="H22" s="402"/>
      <c r="I22" s="602" t="e">
        <f>('Stmt Position'!#REF!+'Stmt Position'!#REF!)/'Stmt Position'!#REF!</f>
        <v>#REF!</v>
      </c>
      <c r="J22" s="402"/>
      <c r="K22" s="602">
        <f>('Stmt Position'!I46+'Stmt Position'!I38)/'Stmt Position'!I32</f>
        <v>0.49598561641712391</v>
      </c>
      <c r="L22" s="387"/>
      <c r="M22" s="602" t="e">
        <f>('Stmt Position'!K46+'Stmt Position'!K38)/'Stmt Position'!K32</f>
        <v>#REF!</v>
      </c>
      <c r="N22" s="380"/>
      <c r="O22" s="393"/>
    </row>
    <row r="23" spans="1:15" s="30" customFormat="1" x14ac:dyDescent="0.2">
      <c r="A23" s="390"/>
      <c r="B23" s="377" t="s">
        <v>347</v>
      </c>
      <c r="C23" s="602">
        <f>'Stmt Position'!C47/'Stmt Position'!C32</f>
        <v>0</v>
      </c>
      <c r="D23" s="602"/>
      <c r="E23" s="602">
        <f>'Stmt Position'!E47/'Stmt Position'!E32</f>
        <v>0</v>
      </c>
      <c r="F23" s="602"/>
      <c r="G23" s="602">
        <f>'Stmt Position'!G47/'Stmt Position'!G32</f>
        <v>0.15024038461538461</v>
      </c>
      <c r="H23" s="402"/>
      <c r="I23" s="602" t="e">
        <f>'Stmt Position'!#REF!/'Stmt Position'!#REF!</f>
        <v>#REF!</v>
      </c>
      <c r="J23" s="402"/>
      <c r="K23" s="602">
        <f>'Stmt Position'!I47/'Stmt Position'!I32</f>
        <v>0.13949595461731609</v>
      </c>
      <c r="L23" s="387"/>
      <c r="M23" s="602" t="e">
        <f>'Stmt Position'!K47/'Stmt Position'!K32</f>
        <v>#REF!</v>
      </c>
      <c r="N23" s="380"/>
      <c r="O23" s="393"/>
    </row>
    <row r="24" spans="1:15" s="30" customFormat="1" x14ac:dyDescent="0.2">
      <c r="A24" s="426"/>
      <c r="B24" s="377" t="s">
        <v>348</v>
      </c>
      <c r="C24" s="615">
        <f>'Stmt Position'!C48/'Stmt Position'!C32</f>
        <v>0</v>
      </c>
      <c r="D24" s="602"/>
      <c r="E24" s="615">
        <f>'Stmt Position'!E48/'Stmt Position'!E32</f>
        <v>0</v>
      </c>
      <c r="F24" s="602"/>
      <c r="G24" s="615">
        <f>'Stmt Position'!G48/'Stmt Position'!G32</f>
        <v>0</v>
      </c>
      <c r="H24" s="402"/>
      <c r="I24" s="615" t="e">
        <f>'Stmt Position'!#REF!/'Stmt Position'!#REF!</f>
        <v>#REF!</v>
      </c>
      <c r="J24" s="402"/>
      <c r="K24" s="615">
        <f>'Stmt Position'!I48/'Stmt Position'!I32</f>
        <v>0</v>
      </c>
      <c r="L24" s="387"/>
      <c r="M24" s="615" t="e">
        <f>'Stmt Position'!K48/'Stmt Position'!K32</f>
        <v>#REF!</v>
      </c>
      <c r="N24" s="380"/>
      <c r="O24" s="393"/>
    </row>
    <row r="25" spans="1:15" s="30" customFormat="1" ht="15" customHeight="1" x14ac:dyDescent="0.2">
      <c r="A25" s="426"/>
      <c r="B25" s="377" t="s">
        <v>349</v>
      </c>
      <c r="C25" s="602">
        <f>SUM(C22:C24)</f>
        <v>0.57339449541284404</v>
      </c>
      <c r="D25" s="602"/>
      <c r="E25" s="602">
        <f>SUM(E22:E24)</f>
        <v>0.53661069759390689</v>
      </c>
      <c r="F25" s="602"/>
      <c r="G25" s="602">
        <f>SUM(G22:G24)</f>
        <v>0.52584134615384615</v>
      </c>
      <c r="H25" s="402"/>
      <c r="I25" s="602" t="e">
        <f>SUM(I22:I24)</f>
        <v>#REF!</v>
      </c>
      <c r="J25" s="402"/>
      <c r="K25" s="602">
        <f>SUM(K22:K24)</f>
        <v>0.63548157103444003</v>
      </c>
      <c r="L25" s="387"/>
      <c r="M25" s="602" t="e">
        <f>SUM(M22:M24)</f>
        <v>#REF!</v>
      </c>
      <c r="N25" s="380"/>
      <c r="O25" s="393"/>
    </row>
    <row r="26" spans="1:15" x14ac:dyDescent="0.2">
      <c r="A26" s="12"/>
      <c r="B26" s="354"/>
      <c r="C26" s="611"/>
      <c r="D26" s="219"/>
      <c r="E26" s="611"/>
      <c r="F26" s="219"/>
      <c r="G26" s="611"/>
      <c r="H26" s="608"/>
      <c r="I26" s="611"/>
      <c r="J26" s="608"/>
      <c r="K26" s="611"/>
      <c r="L26" s="608"/>
      <c r="M26" s="611"/>
      <c r="N26" s="369"/>
      <c r="O26" s="412"/>
    </row>
    <row r="27" spans="1:15" ht="15.75" customHeight="1" x14ac:dyDescent="0.2">
      <c r="A27" s="12" t="s">
        <v>340</v>
      </c>
      <c r="B27" s="341" t="s">
        <v>553</v>
      </c>
      <c r="C27" s="618">
        <f>C20/Sum!C11</f>
        <v>1.3973577235772359</v>
      </c>
      <c r="D27" s="760"/>
      <c r="E27" s="618">
        <f>E20/Sum!E11</f>
        <v>1.3293310463121784</v>
      </c>
      <c r="F27" s="760"/>
      <c r="G27" s="618">
        <f>G20/Sum!G11</f>
        <v>1.4338385907414994</v>
      </c>
      <c r="H27" s="761"/>
      <c r="I27" s="618" t="e">
        <f>I20/Sum!I11</f>
        <v>#REF!</v>
      </c>
      <c r="J27" s="427"/>
      <c r="K27" s="618">
        <f>K20/Sum!K11</f>
        <v>2.0971867007672635</v>
      </c>
      <c r="L27" s="427"/>
      <c r="M27" s="618" t="e">
        <f>M20/Sum!M11</f>
        <v>#REF!</v>
      </c>
      <c r="N27" s="365"/>
      <c r="O27" s="412"/>
    </row>
    <row r="28" spans="1:15" x14ac:dyDescent="0.2">
      <c r="A28" s="12"/>
      <c r="B28" s="341"/>
      <c r="C28" s="616"/>
      <c r="D28" s="607"/>
      <c r="E28" s="616"/>
      <c r="F28" s="607"/>
      <c r="G28" s="616"/>
      <c r="H28" s="427"/>
      <c r="I28" s="616"/>
      <c r="J28" s="427"/>
      <c r="K28" s="616"/>
      <c r="L28" s="427"/>
      <c r="M28" s="616"/>
      <c r="N28" s="365"/>
      <c r="O28" s="412"/>
    </row>
    <row r="29" spans="1:15" ht="12.75" customHeight="1" x14ac:dyDescent="0.2">
      <c r="A29" s="422" t="s">
        <v>98</v>
      </c>
      <c r="B29" s="341" t="s">
        <v>339</v>
      </c>
      <c r="C29" s="405">
        <f>INPUT!C127/Sum!C49</f>
        <v>7.0422535211267607E-3</v>
      </c>
      <c r="D29" s="405"/>
      <c r="E29" s="405">
        <f>INPUT!E127/Sum!E49</f>
        <v>1.8518518518518517E-2</v>
      </c>
      <c r="F29" s="405"/>
      <c r="G29" s="405">
        <f>INPUT!G127/Sum!G49</f>
        <v>1.0256410256410256E-3</v>
      </c>
      <c r="H29" s="427"/>
      <c r="I29" s="405" t="e">
        <f>INPUT!#REF!/Sum!I49</f>
        <v>#REF!</v>
      </c>
      <c r="J29" s="427"/>
      <c r="K29" s="405">
        <f>INPUT!I127/Sum!K49</f>
        <v>1.2935323383084577E-2</v>
      </c>
      <c r="L29" s="427"/>
      <c r="M29" s="405" t="e">
        <f>INPUT!#REF!/Sum!M49</f>
        <v>#REF!</v>
      </c>
      <c r="N29" s="427"/>
      <c r="O29" s="412"/>
    </row>
    <row r="30" spans="1:15" x14ac:dyDescent="0.2">
      <c r="A30" s="12"/>
      <c r="B30" s="341" t="s">
        <v>17</v>
      </c>
      <c r="C30" s="347">
        <f>(+C102)/Sum!C49</f>
        <v>9.8591549295774641E-2</v>
      </c>
      <c r="D30" s="348"/>
      <c r="E30" s="347">
        <f>(+E102)/Sum!E49</f>
        <v>0.1111111111111111</v>
      </c>
      <c r="F30" s="347"/>
      <c r="G30" s="347">
        <f>(+G102)/Sum!G49</f>
        <v>0.11794871794871795</v>
      </c>
      <c r="H30" s="366"/>
      <c r="I30" s="347" t="e">
        <f>(+I102)/Sum!I49</f>
        <v>#REF!</v>
      </c>
      <c r="J30" s="366"/>
      <c r="K30" s="347">
        <f>(+K102)/Sum!K49</f>
        <v>0.11940298507462686</v>
      </c>
      <c r="L30" s="366"/>
      <c r="M30" s="347" t="e">
        <f>(+M102)/Sum!M49</f>
        <v>#REF!</v>
      </c>
      <c r="N30" s="366"/>
      <c r="O30" s="412"/>
    </row>
    <row r="31" spans="1:15" x14ac:dyDescent="0.2">
      <c r="A31" s="12"/>
      <c r="B31" s="341" t="s">
        <v>417</v>
      </c>
      <c r="C31" s="351">
        <f>INPUT!C130/C49</f>
        <v>1.4084507042253521E-2</v>
      </c>
      <c r="D31" s="350"/>
      <c r="E31" s="351">
        <f>INPUT!E130/E49</f>
        <v>4.9382716049382715E-3</v>
      </c>
      <c r="F31" s="351"/>
      <c r="G31" s="351">
        <f>INPUT!G130/G49</f>
        <v>2.4615384615384615E-2</v>
      </c>
      <c r="H31" s="366"/>
      <c r="I31" s="351" t="e">
        <f>INPUT!#REF!/I49</f>
        <v>#REF!</v>
      </c>
      <c r="J31" s="366"/>
      <c r="K31" s="351">
        <f>INPUT!I130/K49</f>
        <v>5.9701492537313433E-3</v>
      </c>
      <c r="L31" s="366"/>
      <c r="M31" s="351" t="e">
        <f>INPUT!#REF!/M49</f>
        <v>#REF!</v>
      </c>
      <c r="N31" s="366"/>
      <c r="O31" s="412"/>
    </row>
    <row r="32" spans="1:15" x14ac:dyDescent="0.2">
      <c r="A32" s="12"/>
      <c r="B32" s="341" t="s">
        <v>416</v>
      </c>
      <c r="C32" s="351">
        <f>INPUT!C131/C49</f>
        <v>2.8169014084507044E-3</v>
      </c>
      <c r="D32" s="350"/>
      <c r="E32" s="351">
        <f>INPUT!E131/E49</f>
        <v>4.4444444444444444E-3</v>
      </c>
      <c r="F32" s="351"/>
      <c r="G32" s="351">
        <f>INPUT!G131/G49</f>
        <v>1.0256410256410256E-2</v>
      </c>
      <c r="H32" s="366"/>
      <c r="I32" s="351" t="e">
        <f>INPUT!#REF!/I49</f>
        <v>#REF!</v>
      </c>
      <c r="J32" s="366"/>
      <c r="K32" s="351">
        <f>INPUT!I131/K49</f>
        <v>0</v>
      </c>
      <c r="L32" s="366"/>
      <c r="M32" s="351" t="e">
        <f>INPUT!#REF!/M49</f>
        <v>#REF!</v>
      </c>
      <c r="N32" s="366"/>
      <c r="O32" s="412"/>
    </row>
    <row r="33" spans="1:15" x14ac:dyDescent="0.2">
      <c r="A33" s="12"/>
      <c r="B33" s="341"/>
      <c r="C33" s="269"/>
      <c r="D33" s="341"/>
      <c r="E33" s="269"/>
      <c r="F33" s="343"/>
      <c r="G33" s="269"/>
      <c r="H33" s="364"/>
      <c r="I33" s="269"/>
      <c r="J33" s="364"/>
      <c r="K33" s="269"/>
      <c r="L33" s="364"/>
      <c r="M33" s="269"/>
      <c r="N33" s="364"/>
      <c r="O33" s="412"/>
    </row>
    <row r="34" spans="1:15" ht="12" customHeight="1" x14ac:dyDescent="0.2">
      <c r="A34" s="422" t="s">
        <v>131</v>
      </c>
      <c r="B34" s="341" t="s">
        <v>18</v>
      </c>
      <c r="C34" s="19">
        <f>'Stmt Activities'!C23+'Stmt Activities'!C16-'Stmt Activities'!C13-'Stmt Activities'!C11</f>
        <v>375400</v>
      </c>
      <c r="D34" s="269"/>
      <c r="E34" s="19">
        <f>'Stmt Activities'!E23+'Stmt Activities'!E16-'Stmt Activities'!E13-'Stmt Activities'!E11</f>
        <v>540750</v>
      </c>
      <c r="F34" s="271">
        <f t="shared" ref="F34:J40" si="1">(E34-C34)/ABS(C34)</f>
        <v>0.44046350559403302</v>
      </c>
      <c r="G34" s="19">
        <f>'Stmt Activities'!G23+'Stmt Activities'!G16-'Stmt Activities'!G13-'Stmt Activities'!G11</f>
        <v>694000</v>
      </c>
      <c r="H34" s="363">
        <f t="shared" si="1"/>
        <v>0.28340268146093389</v>
      </c>
      <c r="I34" s="19" t="e">
        <f>'Stmt Activities'!I23+'Stmt Activities'!I16-'Stmt Activities'!I13-'Stmt Activities'!I11</f>
        <v>#REF!</v>
      </c>
      <c r="J34" s="363" t="e">
        <f t="shared" si="1"/>
        <v>#REF!</v>
      </c>
      <c r="K34" s="19">
        <f>'Stmt Activities'!K23+'Stmt Activities'!K16-'Stmt Activities'!K13-'Stmt Activities'!K11</f>
        <v>743120</v>
      </c>
      <c r="L34" s="363" t="e">
        <f t="shared" ref="L34:L40" si="2">(K34-I34)/ABS(I34)</f>
        <v>#REF!</v>
      </c>
      <c r="M34" s="19" t="e">
        <f>'Stmt Activities'!M23+'Stmt Activities'!M16-'Stmt Activities'!M13-'Stmt Activities'!M11</f>
        <v>#REF!</v>
      </c>
      <c r="N34" s="363"/>
      <c r="O34" s="425">
        <f t="shared" ref="O34:O40" si="3">RATE(2006-2004,0,-G34,K34)</f>
        <v>3.4784082783799422E-2</v>
      </c>
    </row>
    <row r="35" spans="1:15" x14ac:dyDescent="0.2">
      <c r="A35" s="12"/>
      <c r="B35" s="352" t="s">
        <v>19</v>
      </c>
      <c r="C35" s="19">
        <f>'Stmt Activities'!C29</f>
        <v>300000</v>
      </c>
      <c r="D35" s="269"/>
      <c r="E35" s="19">
        <f>'Stmt Activities'!E29</f>
        <v>547000</v>
      </c>
      <c r="F35" s="271">
        <f t="shared" si="1"/>
        <v>0.82333333333333336</v>
      </c>
      <c r="G35" s="19">
        <f>'Stmt Activities'!G29</f>
        <v>350000</v>
      </c>
      <c r="H35" s="363">
        <f t="shared" si="1"/>
        <v>-0.36014625228519198</v>
      </c>
      <c r="I35" s="19" t="e">
        <f>'Stmt Activities'!I29</f>
        <v>#REF!</v>
      </c>
      <c r="J35" s="363" t="e">
        <f t="shared" si="1"/>
        <v>#REF!</v>
      </c>
      <c r="K35" s="19">
        <f>'Stmt Activities'!K29</f>
        <v>650000</v>
      </c>
      <c r="L35" s="363" t="e">
        <f t="shared" si="2"/>
        <v>#REF!</v>
      </c>
      <c r="M35" s="19" t="e">
        <f>'Stmt Activities'!M29</f>
        <v>#REF!</v>
      </c>
      <c r="N35" s="363"/>
      <c r="O35" s="425">
        <f t="shared" si="3"/>
        <v>0.36277028773849368</v>
      </c>
    </row>
    <row r="36" spans="1:15" x14ac:dyDescent="0.2">
      <c r="A36" s="12"/>
      <c r="B36" s="341" t="s">
        <v>414</v>
      </c>
      <c r="C36" s="19">
        <f>'Stmt Activities'!C40</f>
        <v>467500</v>
      </c>
      <c r="D36" s="269"/>
      <c r="E36" s="19">
        <f>'Stmt Activities'!E40</f>
        <v>613750</v>
      </c>
      <c r="F36" s="271">
        <f t="shared" si="1"/>
        <v>0.31283422459893045</v>
      </c>
      <c r="G36" s="19">
        <f>'Stmt Activities'!G40</f>
        <v>860000</v>
      </c>
      <c r="H36" s="363">
        <f t="shared" si="1"/>
        <v>0.40122199592668023</v>
      </c>
      <c r="I36" s="19" t="e">
        <f>'Stmt Activities'!I40</f>
        <v>#REF!</v>
      </c>
      <c r="J36" s="363" t="e">
        <f t="shared" si="1"/>
        <v>#REF!</v>
      </c>
      <c r="K36" s="19">
        <f>'Stmt Activities'!K40</f>
        <v>1125370</v>
      </c>
      <c r="L36" s="363" t="e">
        <f t="shared" si="2"/>
        <v>#REF!</v>
      </c>
      <c r="M36" s="19" t="e">
        <f>'Stmt Activities'!M40</f>
        <v>#REF!</v>
      </c>
      <c r="N36" s="363"/>
      <c r="O36" s="425">
        <f t="shared" si="3"/>
        <v>0.14392734360266962</v>
      </c>
    </row>
    <row r="37" spans="1:15" x14ac:dyDescent="0.2">
      <c r="A37" s="12"/>
      <c r="B37" s="341" t="s">
        <v>72</v>
      </c>
      <c r="C37" s="19">
        <f>-'Stmt Activities'!C11-'Stmt Activities'!C13</f>
        <v>170000</v>
      </c>
      <c r="D37" s="269"/>
      <c r="E37" s="19">
        <f>-'Stmt Activities'!E11-'Stmt Activities'!E13</f>
        <v>210000</v>
      </c>
      <c r="F37" s="271"/>
      <c r="G37" s="19">
        <f>-'Stmt Activities'!G11-'Stmt Activities'!G13</f>
        <v>275000</v>
      </c>
      <c r="H37" s="363"/>
      <c r="I37" s="19" t="e">
        <f>-'Stmt Activities'!I11-'Stmt Activities'!I13</f>
        <v>#REF!</v>
      </c>
      <c r="J37" s="363" t="e">
        <f t="shared" si="1"/>
        <v>#REF!</v>
      </c>
      <c r="K37" s="19">
        <f>-'Stmt Activities'!K11-'Stmt Activities'!K13</f>
        <v>215000</v>
      </c>
      <c r="L37" s="363" t="e">
        <f t="shared" si="2"/>
        <v>#REF!</v>
      </c>
      <c r="M37" s="19" t="e">
        <f>-'Stmt Activities'!M11-'Stmt Activities'!M13</f>
        <v>#REF!</v>
      </c>
      <c r="N37" s="363"/>
      <c r="O37" s="425">
        <f t="shared" si="3"/>
        <v>-0.11579516976088526</v>
      </c>
    </row>
    <row r="38" spans="1:15" x14ac:dyDescent="0.2">
      <c r="A38" s="12"/>
      <c r="B38" s="341" t="s">
        <v>415</v>
      </c>
      <c r="C38" s="19">
        <f>C36+C37</f>
        <v>637500</v>
      </c>
      <c r="D38" s="269"/>
      <c r="E38" s="19">
        <f>E36+E37</f>
        <v>823750</v>
      </c>
      <c r="F38" s="271"/>
      <c r="G38" s="19">
        <f>G36+G37</f>
        <v>1135000</v>
      </c>
      <c r="H38" s="363"/>
      <c r="I38" s="19" t="e">
        <f>I36+I37</f>
        <v>#REF!</v>
      </c>
      <c r="J38" s="363" t="e">
        <f t="shared" si="1"/>
        <v>#REF!</v>
      </c>
      <c r="K38" s="19">
        <f>K36+K37</f>
        <v>1340370</v>
      </c>
      <c r="L38" s="363" t="e">
        <f t="shared" si="2"/>
        <v>#REF!</v>
      </c>
      <c r="M38" s="19" t="e">
        <f>M36+M37</f>
        <v>#REF!</v>
      </c>
      <c r="N38" s="363"/>
      <c r="O38" s="425">
        <f t="shared" si="3"/>
        <v>8.6711889728612906E-2</v>
      </c>
    </row>
    <row r="39" spans="1:15" x14ac:dyDescent="0.2">
      <c r="A39" s="12"/>
      <c r="B39" s="341" t="s">
        <v>50</v>
      </c>
      <c r="C39" s="19">
        <f>C34+C35-C38</f>
        <v>37900</v>
      </c>
      <c r="D39" s="344"/>
      <c r="E39" s="19">
        <f>E34+E35-E38</f>
        <v>264000</v>
      </c>
      <c r="F39" s="271">
        <f t="shared" si="1"/>
        <v>5.9656992084432714</v>
      </c>
      <c r="G39" s="19">
        <f>G34+G35-G38</f>
        <v>-91000</v>
      </c>
      <c r="H39" s="363">
        <f t="shared" si="1"/>
        <v>-1.3446969696969697</v>
      </c>
      <c r="I39" s="19" t="e">
        <f>I34+I35-I38</f>
        <v>#REF!</v>
      </c>
      <c r="J39" s="363" t="e">
        <f t="shared" si="1"/>
        <v>#REF!</v>
      </c>
      <c r="K39" s="19">
        <f>K34+K35-K38</f>
        <v>52750</v>
      </c>
      <c r="L39" s="363" t="e">
        <f t="shared" si="2"/>
        <v>#REF!</v>
      </c>
      <c r="M39" s="19" t="e">
        <f>M34+M35-M38</f>
        <v>#REF!</v>
      </c>
      <c r="N39" s="363"/>
      <c r="O39" s="425" t="e">
        <f t="shared" si="3"/>
        <v>#NUM!</v>
      </c>
    </row>
    <row r="40" spans="1:15" ht="30" customHeight="1" x14ac:dyDescent="0.2">
      <c r="A40" s="12" t="s">
        <v>341</v>
      </c>
      <c r="B40" s="341" t="s">
        <v>556</v>
      </c>
      <c r="C40" s="347">
        <f>C39/(C34+C35)</f>
        <v>5.6114894877109862E-2</v>
      </c>
      <c r="D40" s="607"/>
      <c r="E40" s="347">
        <f>E39/(E34+E35)</f>
        <v>0.24270282693633646</v>
      </c>
      <c r="F40" s="612">
        <f t="shared" si="1"/>
        <v>3.3251052589129722</v>
      </c>
      <c r="G40" s="347">
        <f>G39/(G34+G35)</f>
        <v>-8.7164750957854406E-2</v>
      </c>
      <c r="H40" s="613">
        <f t="shared" si="1"/>
        <v>-1.3591418858121445</v>
      </c>
      <c r="I40" s="347" t="e">
        <f>I39/(I34+I35)</f>
        <v>#REF!</v>
      </c>
      <c r="J40" s="613" t="e">
        <f t="shared" si="1"/>
        <v>#REF!</v>
      </c>
      <c r="K40" s="347">
        <f>K39/(K34+K35)</f>
        <v>3.7864649132881588E-2</v>
      </c>
      <c r="L40" s="613" t="e">
        <f t="shared" si="2"/>
        <v>#REF!</v>
      </c>
      <c r="M40" s="347" t="e">
        <f>M39/(M34+M35)</f>
        <v>#REF!</v>
      </c>
      <c r="N40" s="363"/>
      <c r="O40" s="425" t="e">
        <f t="shared" si="3"/>
        <v>#NUM!</v>
      </c>
    </row>
    <row r="41" spans="1:15" x14ac:dyDescent="0.2">
      <c r="A41" s="12"/>
      <c r="B41" s="354"/>
      <c r="C41" s="611"/>
      <c r="D41" s="219"/>
      <c r="E41" s="611"/>
      <c r="F41" s="612"/>
      <c r="G41" s="611"/>
      <c r="H41" s="613"/>
      <c r="I41" s="611"/>
      <c r="J41" s="613"/>
      <c r="K41" s="611"/>
      <c r="L41" s="613"/>
      <c r="M41" s="611"/>
      <c r="N41" s="363"/>
      <c r="O41" s="412"/>
    </row>
    <row r="42" spans="1:15" x14ac:dyDescent="0.2">
      <c r="A42" s="301" t="s">
        <v>357</v>
      </c>
      <c r="B42" s="356" t="s">
        <v>418</v>
      </c>
      <c r="C42" s="617">
        <f>C34/(C38-'Stmt Activities'!C39)</f>
        <v>0.58886274509803926</v>
      </c>
      <c r="D42" s="350"/>
      <c r="E42" s="617">
        <f>E34/(E38-'Stmt Activities'!E39)</f>
        <v>0.65644916540212439</v>
      </c>
      <c r="F42" s="351"/>
      <c r="G42" s="617">
        <f>G34/(G38-'Stmt Activities'!G39)</f>
        <v>0.61145374449339207</v>
      </c>
      <c r="H42" s="366"/>
      <c r="I42" s="617" t="e">
        <f>I34/(I38-'Stmt Activities'!I39)</f>
        <v>#REF!</v>
      </c>
      <c r="J42" s="366"/>
      <c r="K42" s="617">
        <f>K34/(K38-'Stmt Activities'!K39)</f>
        <v>0.5544140796944127</v>
      </c>
      <c r="L42" s="366"/>
      <c r="M42" s="617" t="e">
        <f>M34/(M38-'Stmt Activities'!M39)</f>
        <v>#REF!</v>
      </c>
      <c r="N42" s="364"/>
      <c r="O42" s="412"/>
    </row>
    <row r="43" spans="1:15" x14ac:dyDescent="0.2">
      <c r="A43" s="12"/>
      <c r="B43" s="404"/>
      <c r="C43" s="618"/>
      <c r="D43" s="348"/>
      <c r="E43" s="618"/>
      <c r="F43" s="347"/>
      <c r="G43" s="618"/>
      <c r="H43" s="366"/>
      <c r="I43" s="618"/>
      <c r="J43" s="366"/>
      <c r="K43" s="618"/>
      <c r="L43" s="366"/>
      <c r="M43" s="618"/>
      <c r="N43" s="364"/>
      <c r="O43" s="412"/>
    </row>
    <row r="44" spans="1:15" x14ac:dyDescent="0.2">
      <c r="A44" s="422" t="s">
        <v>77</v>
      </c>
      <c r="B44" s="341"/>
      <c r="C44" s="348"/>
      <c r="D44" s="348"/>
      <c r="E44" s="348"/>
      <c r="F44" s="347"/>
      <c r="G44" s="348"/>
      <c r="H44" s="366"/>
      <c r="I44" s="348"/>
      <c r="J44" s="366"/>
      <c r="K44" s="348"/>
      <c r="L44" s="366"/>
      <c r="M44" s="348"/>
      <c r="N44" s="364"/>
      <c r="O44" s="412"/>
    </row>
    <row r="45" spans="1:15" x14ac:dyDescent="0.2">
      <c r="A45" s="12" t="s">
        <v>342</v>
      </c>
      <c r="B45" s="341" t="s">
        <v>356</v>
      </c>
      <c r="C45" s="616">
        <f>('Stmt Position'!C7+'Stmt Position'!C8)/'Stmt Position'!C43</f>
        <v>1.4119601328903655</v>
      </c>
      <c r="D45" s="607"/>
      <c r="E45" s="616">
        <f>('Stmt Position'!E7+'Stmt Position'!E8)/'Stmt Position'!E43</f>
        <v>1.7464114832535884</v>
      </c>
      <c r="F45" s="607"/>
      <c r="G45" s="616">
        <f>('Stmt Position'!G7+'Stmt Position'!G8)/'Stmt Position'!G43</f>
        <v>1.2195121951219512</v>
      </c>
      <c r="H45" s="427"/>
      <c r="I45" s="616" t="e">
        <f>('Stmt Position'!#REF!+'Stmt Position'!#REF!)/'Stmt Position'!#REF!</f>
        <v>#REF!</v>
      </c>
      <c r="J45" s="427"/>
      <c r="K45" s="616">
        <f>('Stmt Position'!I7+'Stmt Position'!I8)/'Stmt Position'!I43</f>
        <v>1.6928494041170097</v>
      </c>
      <c r="L45" s="427"/>
      <c r="M45" s="616" t="e">
        <f>('Stmt Position'!K7+'Stmt Position'!K8)/'Stmt Position'!K43</f>
        <v>#REF!</v>
      </c>
      <c r="N45" s="365"/>
      <c r="O45" s="412"/>
    </row>
    <row r="46" spans="1:15" x14ac:dyDescent="0.2">
      <c r="A46" s="12" t="s">
        <v>343</v>
      </c>
      <c r="B46" s="341" t="s">
        <v>96</v>
      </c>
      <c r="C46" s="616">
        <f>'Stmt Position'!C18/'Stmt Position'!C43</f>
        <v>2.3765227021040976</v>
      </c>
      <c r="D46" s="607"/>
      <c r="E46" s="616">
        <f>'Stmt Position'!E18/'Stmt Position'!E43</f>
        <v>2.8535885167464117</v>
      </c>
      <c r="F46" s="607"/>
      <c r="G46" s="616">
        <f>'Stmt Position'!G18/'Stmt Position'!G43</f>
        <v>2.0701219512195124</v>
      </c>
      <c r="H46" s="427"/>
      <c r="I46" s="616" t="e">
        <f>'Stmt Position'!#REF!/'Stmt Position'!#REF!</f>
        <v>#REF!</v>
      </c>
      <c r="J46" s="427"/>
      <c r="K46" s="616">
        <f>'Stmt Position'!I18/'Stmt Position'!I43</f>
        <v>2.6759209100758397</v>
      </c>
      <c r="L46" s="427"/>
      <c r="M46" s="616" t="e">
        <f>'Stmt Position'!K18/'Stmt Position'!K43</f>
        <v>#REF!</v>
      </c>
      <c r="N46" s="365"/>
      <c r="O46" s="412"/>
    </row>
    <row r="47" spans="1:15" x14ac:dyDescent="0.2">
      <c r="A47" s="12" t="s">
        <v>352</v>
      </c>
      <c r="B47" s="341" t="s">
        <v>617</v>
      </c>
      <c r="C47" s="616">
        <f>'Stmt Position'!C7/(('Stmt Activities'!C40-'Stmt Activities'!C11-'Stmt Activities'!C37-'Stmt Activities'!C39)/12)</f>
        <v>6.5346534653465342</v>
      </c>
      <c r="D47" s="607"/>
      <c r="E47" s="616">
        <f>'Stmt Position'!E7/(('Stmt Activities'!E40-'Stmt Activities'!E11-'Stmt Activities'!E37-'Stmt Activities'!E39)/12)</f>
        <v>5.8646616541353387</v>
      </c>
      <c r="F47" s="607"/>
      <c r="G47" s="616">
        <f>'Stmt Position'!G7/(('Stmt Activities'!G40-'Stmt Activities'!G11-'Stmt Activities'!G37-'Stmt Activities'!G39)/12)</f>
        <v>8.4324324324324333</v>
      </c>
      <c r="H47" s="427"/>
      <c r="I47" s="616" t="e">
        <f>'Stmt Position'!#REF!/(('Stmt Activities'!I40-'Stmt Activities'!I11-'Stmt Activities'!I37-'Stmt Activities'!I39)/12)</f>
        <v>#REF!</v>
      </c>
      <c r="J47" s="427"/>
      <c r="K47" s="616">
        <f>'Stmt Position'!I7/(('Stmt Activities'!K40-'Stmt Activities'!K11-'Stmt Activities'!K37-'Stmt Activities'!K39)/12)</f>
        <v>3.7333554569212262</v>
      </c>
      <c r="L47" s="427"/>
      <c r="M47" s="616" t="e">
        <f>'Stmt Position'!K7/(('Stmt Activities'!M40-'Stmt Activities'!M11-'Stmt Activities'!M37-'Stmt Activities'!M39)/12)</f>
        <v>#REF!</v>
      </c>
      <c r="N47" s="365"/>
      <c r="O47" s="412"/>
    </row>
    <row r="48" spans="1:15" x14ac:dyDescent="0.2">
      <c r="A48" s="12"/>
      <c r="B48" s="341"/>
      <c r="C48" s="348"/>
      <c r="D48" s="348"/>
      <c r="E48" s="348"/>
      <c r="F48" s="347"/>
      <c r="G48" s="348"/>
      <c r="H48" s="366"/>
      <c r="I48" s="348"/>
      <c r="J48" s="366"/>
      <c r="K48" s="348"/>
      <c r="L48" s="366"/>
      <c r="M48" s="348"/>
      <c r="N48" s="366"/>
      <c r="O48" s="412"/>
    </row>
    <row r="49" spans="1:15" ht="13.5" customHeight="1" x14ac:dyDescent="0.2">
      <c r="A49" s="420" t="s">
        <v>338</v>
      </c>
      <c r="B49" s="341" t="s">
        <v>129</v>
      </c>
      <c r="C49" s="211">
        <f>'Stmt Position'!C22+'Stmt Position'!C13</f>
        <v>3550000</v>
      </c>
      <c r="D49" s="607"/>
      <c r="E49" s="211">
        <f>'Stmt Position'!E22+'Stmt Position'!E13</f>
        <v>4050000</v>
      </c>
      <c r="F49" s="612">
        <f>(E49-C49)/ABS(C49)</f>
        <v>0.14084507042253522</v>
      </c>
      <c r="G49" s="211">
        <f>'Stmt Position'!G22+'Stmt Position'!G13</f>
        <v>4875000</v>
      </c>
      <c r="H49" s="613">
        <f>(G49-E49)/ABS(E49)</f>
        <v>0.20370370370370369</v>
      </c>
      <c r="I49" s="211" t="e">
        <f>'Stmt Position'!#REF!+'Stmt Position'!#REF!</f>
        <v>#REF!</v>
      </c>
      <c r="J49" s="613" t="e">
        <f>(I49-G49)/ABS(G49)</f>
        <v>#REF!</v>
      </c>
      <c r="K49" s="211">
        <f>'Stmt Position'!I22+'Stmt Position'!I13</f>
        <v>5025000</v>
      </c>
      <c r="L49" s="613" t="e">
        <f>(K49-I49)/ABS(I49)</f>
        <v>#REF!</v>
      </c>
      <c r="M49" s="211" t="e">
        <f>'Stmt Position'!K22+'Stmt Position'!K13</f>
        <v>#REF!</v>
      </c>
      <c r="N49" s="363" t="e">
        <f>(M49-K49)/ABS(K49)</f>
        <v>#REF!</v>
      </c>
      <c r="O49" s="425">
        <f>RATE(2006-2004,0,-G49,K49)</f>
        <v>1.5268058578241041E-2</v>
      </c>
    </row>
    <row r="50" spans="1:15" x14ac:dyDescent="0.2">
      <c r="A50" s="12"/>
      <c r="B50" s="341" t="s">
        <v>21</v>
      </c>
      <c r="C50" s="211">
        <f>'Stmt Position'!C25</f>
        <v>0</v>
      </c>
      <c r="D50" s="348"/>
      <c r="E50" s="211">
        <f>'Stmt Position'!E25</f>
        <v>0</v>
      </c>
      <c r="F50" s="348"/>
      <c r="G50" s="211">
        <f>'Stmt Position'!G25</f>
        <v>0</v>
      </c>
      <c r="H50" s="367"/>
      <c r="I50" s="211" t="e">
        <f>'Stmt Position'!#REF!</f>
        <v>#REF!</v>
      </c>
      <c r="J50" s="613"/>
      <c r="K50" s="211">
        <f>'Stmt Position'!I25</f>
        <v>0</v>
      </c>
      <c r="L50" s="367"/>
      <c r="M50" s="211" t="e">
        <f>'Stmt Position'!K25</f>
        <v>#REF!</v>
      </c>
      <c r="N50" s="367"/>
      <c r="O50" s="425" t="e">
        <f>RATE(2005-2003,0,-G50,K50)</f>
        <v>#NUM!</v>
      </c>
    </row>
    <row r="51" spans="1:15" x14ac:dyDescent="0.2">
      <c r="A51" s="12"/>
      <c r="B51" s="352" t="s">
        <v>69</v>
      </c>
      <c r="C51" s="211">
        <f>INPUT!C145</f>
        <v>0</v>
      </c>
      <c r="D51" s="349"/>
      <c r="E51" s="211">
        <f>INPUT!E145</f>
        <v>0</v>
      </c>
      <c r="F51" s="349"/>
      <c r="G51" s="211">
        <f>INPUT!G145</f>
        <v>0</v>
      </c>
      <c r="H51" s="368"/>
      <c r="I51" s="211" t="e">
        <f>INPUT!#REF!</f>
        <v>#REF!</v>
      </c>
      <c r="J51" s="613"/>
      <c r="K51" s="211">
        <f>INPUT!I145</f>
        <v>0</v>
      </c>
      <c r="L51" s="613"/>
      <c r="M51" s="211" t="e">
        <f>INPUT!#REF!</f>
        <v>#REF!</v>
      </c>
      <c r="N51" s="363"/>
      <c r="O51" s="425" t="e">
        <f>RATE(2005-2003,0,-G51,K51)</f>
        <v>#NUM!</v>
      </c>
    </row>
    <row r="52" spans="1:15" x14ac:dyDescent="0.2">
      <c r="A52" s="12"/>
      <c r="B52" s="354" t="s">
        <v>134</v>
      </c>
      <c r="C52" s="211">
        <f>'Stmt Activities'!C39</f>
        <v>0</v>
      </c>
      <c r="D52" s="348"/>
      <c r="E52" s="211">
        <f>'Stmt Activities'!E39</f>
        <v>0</v>
      </c>
      <c r="F52" s="348"/>
      <c r="G52" s="211">
        <f>'Stmt Activities'!G39</f>
        <v>0</v>
      </c>
      <c r="H52" s="367"/>
      <c r="I52" s="211" t="e">
        <f>'Stmt Activities'!I39</f>
        <v>#REF!</v>
      </c>
      <c r="J52" s="367"/>
      <c r="K52" s="211">
        <f>'Stmt Activities'!K39</f>
        <v>0</v>
      </c>
      <c r="L52" s="367"/>
      <c r="M52" s="211" t="e">
        <f>'Stmt Activities'!M39</f>
        <v>#REF!</v>
      </c>
      <c r="N52" s="367"/>
      <c r="O52" s="425" t="e">
        <f>RATE(2005-2003,0,-G52,K52)</f>
        <v>#NUM!</v>
      </c>
    </row>
    <row r="53" spans="1:15" x14ac:dyDescent="0.2">
      <c r="A53" s="12"/>
      <c r="B53" s="354"/>
      <c r="C53" s="611"/>
      <c r="D53" s="219"/>
      <c r="E53" s="611"/>
      <c r="F53" s="219"/>
      <c r="G53" s="611"/>
      <c r="H53" s="608"/>
      <c r="I53" s="611"/>
      <c r="J53" s="608"/>
      <c r="K53" s="611"/>
      <c r="L53" s="608"/>
      <c r="M53" s="611"/>
      <c r="N53" s="369"/>
      <c r="O53" s="412"/>
    </row>
    <row r="54" spans="1:15" ht="27" customHeight="1" x14ac:dyDescent="0.2">
      <c r="A54" s="421" t="s">
        <v>358</v>
      </c>
      <c r="B54" s="345" t="s">
        <v>425</v>
      </c>
      <c r="C54" s="347">
        <f>(C49+C50)/(C19+C89+C88+C87+C8)</f>
        <v>0.75243747350572276</v>
      </c>
      <c r="D54" s="219"/>
      <c r="E54" s="347">
        <f>(E49+E50)/(E19+E89+E88+E87+E8)</f>
        <v>0.7455817378497791</v>
      </c>
      <c r="F54" s="219"/>
      <c r="G54" s="347">
        <f>(G49+G50)/(G19+G89+G88+G87+G8)</f>
        <v>0.98664238008500305</v>
      </c>
      <c r="H54" s="608"/>
      <c r="I54" s="347" t="e">
        <f>(I49+I50)/(I19+I89+I88+I87+I8)</f>
        <v>#REF!</v>
      </c>
      <c r="J54" s="608"/>
      <c r="K54" s="347">
        <f>(K49+K50)/(K19+K89+K88+K87+K8)</f>
        <v>0.77982541222114454</v>
      </c>
      <c r="L54" s="608"/>
      <c r="M54" s="347" t="e">
        <f>(M49+M50)/(M19+M89+M88+M87+M8)</f>
        <v>#REF!</v>
      </c>
      <c r="N54" s="369"/>
      <c r="O54" s="412"/>
    </row>
    <row r="55" spans="1:15" x14ac:dyDescent="0.2">
      <c r="A55" s="421"/>
      <c r="B55" s="341"/>
      <c r="C55" s="347"/>
      <c r="D55" s="219"/>
      <c r="E55" s="347"/>
      <c r="F55" s="219"/>
      <c r="G55" s="347"/>
      <c r="H55" s="608"/>
      <c r="I55" s="347"/>
      <c r="J55" s="608"/>
      <c r="K55" s="347"/>
      <c r="L55" s="608"/>
      <c r="M55" s="347"/>
      <c r="N55" s="369"/>
      <c r="O55" s="412"/>
    </row>
    <row r="56" spans="1:15" x14ac:dyDescent="0.2">
      <c r="A56" s="422" t="s">
        <v>135</v>
      </c>
      <c r="B56" s="354" t="str">
        <f>INPUT!B139</f>
        <v>Loans Closed (Current Year) #</v>
      </c>
      <c r="C56" s="211">
        <f>INPUT!C139</f>
        <v>0</v>
      </c>
      <c r="D56" s="219"/>
      <c r="E56" s="211">
        <f>INPUT!E139</f>
        <v>0</v>
      </c>
      <c r="F56" s="219"/>
      <c r="G56" s="211">
        <f>INPUT!G139</f>
        <v>0</v>
      </c>
      <c r="H56" s="367" t="e">
        <f>#REF!</f>
        <v>#REF!</v>
      </c>
      <c r="I56" s="211" t="e">
        <f>INPUT!#REF!</f>
        <v>#REF!</v>
      </c>
      <c r="J56" s="367"/>
      <c r="K56" s="211">
        <f>INPUT!I139</f>
        <v>0</v>
      </c>
      <c r="L56" s="367"/>
      <c r="M56" s="211" t="e">
        <f>INPUT!#REF!</f>
        <v>#REF!</v>
      </c>
      <c r="N56" s="369"/>
      <c r="O56" s="412"/>
    </row>
    <row r="57" spans="1:15" ht="13.5" customHeight="1" x14ac:dyDescent="0.2">
      <c r="A57" s="422"/>
      <c r="B57" s="354" t="str">
        <f>INPUT!B140</f>
        <v>Loans Closed (Current Year) $</v>
      </c>
      <c r="C57" s="211">
        <f>INPUT!C140</f>
        <v>0</v>
      </c>
      <c r="D57" s="219"/>
      <c r="E57" s="211">
        <f>INPUT!E140</f>
        <v>0</v>
      </c>
      <c r="F57" s="219"/>
      <c r="G57" s="211">
        <f>INPUT!G140</f>
        <v>0</v>
      </c>
      <c r="H57" s="619" t="e">
        <f>#REF!</f>
        <v>#REF!</v>
      </c>
      <c r="I57" s="211" t="e">
        <f>INPUT!#REF!</f>
        <v>#REF!</v>
      </c>
      <c r="J57" s="619"/>
      <c r="K57" s="211">
        <f>INPUT!I140</f>
        <v>0</v>
      </c>
      <c r="L57" s="619"/>
      <c r="M57" s="211" t="e">
        <f>INPUT!#REF!</f>
        <v>#REF!</v>
      </c>
      <c r="N57" s="369"/>
      <c r="O57" s="412"/>
    </row>
    <row r="58" spans="1:15" x14ac:dyDescent="0.2">
      <c r="A58" s="422"/>
      <c r="B58" s="354" t="str">
        <f>INPUT!B155</f>
        <v>Output Data CDFI Uses</v>
      </c>
      <c r="C58" s="211">
        <f>INPUT!C155</f>
        <v>0</v>
      </c>
      <c r="D58" s="219"/>
      <c r="E58" s="211">
        <f>INPUT!E155</f>
        <v>0</v>
      </c>
      <c r="F58" s="219"/>
      <c r="G58" s="211">
        <f>INPUT!G155</f>
        <v>0</v>
      </c>
      <c r="H58" s="367" t="e">
        <f>#REF!</f>
        <v>#REF!</v>
      </c>
      <c r="I58" s="211" t="e">
        <f>INPUT!#REF!</f>
        <v>#REF!</v>
      </c>
      <c r="J58" s="367"/>
      <c r="K58" s="211">
        <f>INPUT!I155</f>
        <v>0</v>
      </c>
      <c r="L58" s="367"/>
      <c r="M58" s="211" t="e">
        <f>INPUT!#REF!</f>
        <v>#REF!</v>
      </c>
      <c r="N58" s="369"/>
      <c r="O58" s="412"/>
    </row>
    <row r="59" spans="1:15" x14ac:dyDescent="0.2">
      <c r="A59" s="422"/>
      <c r="B59" s="354" t="str">
        <f>INPUT!B156</f>
        <v>Output Data CDFI Uses</v>
      </c>
      <c r="C59" s="211">
        <f>INPUT!C156</f>
        <v>0</v>
      </c>
      <c r="D59" s="219"/>
      <c r="E59" s="211">
        <f>INPUT!E156</f>
        <v>0</v>
      </c>
      <c r="F59" s="219"/>
      <c r="G59" s="211">
        <f>INPUT!G156</f>
        <v>0</v>
      </c>
      <c r="H59" s="367" t="e">
        <f>#REF!</f>
        <v>#REF!</v>
      </c>
      <c r="I59" s="211" t="e">
        <f>INPUT!#REF!</f>
        <v>#REF!</v>
      </c>
      <c r="J59" s="367"/>
      <c r="K59" s="211">
        <f>INPUT!I156</f>
        <v>0</v>
      </c>
      <c r="L59" s="367"/>
      <c r="M59" s="211" t="e">
        <f>INPUT!#REF!</f>
        <v>#REF!</v>
      </c>
      <c r="N59" s="369"/>
      <c r="O59" s="412"/>
    </row>
    <row r="60" spans="1:15" x14ac:dyDescent="0.2">
      <c r="A60" s="422"/>
      <c r="B60" s="354" t="str">
        <f>INPUT!B157</f>
        <v>Output Data CDFI Uses</v>
      </c>
      <c r="C60" s="211">
        <f>INPUT!C157</f>
        <v>0</v>
      </c>
      <c r="D60" s="219"/>
      <c r="E60" s="211">
        <f>INPUT!E157</f>
        <v>0</v>
      </c>
      <c r="F60" s="219"/>
      <c r="G60" s="211">
        <f>INPUT!G157</f>
        <v>0</v>
      </c>
      <c r="H60" s="367" t="e">
        <f>#REF!</f>
        <v>#REF!</v>
      </c>
      <c r="I60" s="211" t="e">
        <f>INPUT!#REF!</f>
        <v>#REF!</v>
      </c>
      <c r="J60" s="367"/>
      <c r="K60" s="211">
        <f>INPUT!I157</f>
        <v>0</v>
      </c>
      <c r="L60" s="367"/>
      <c r="M60" s="211" t="e">
        <f>INPUT!#REF!</f>
        <v>#REF!</v>
      </c>
      <c r="N60" s="369"/>
      <c r="O60" s="412"/>
    </row>
    <row r="61" spans="1:15" x14ac:dyDescent="0.2">
      <c r="A61" s="422"/>
      <c r="B61" s="354" t="str">
        <f>INPUT!B158</f>
        <v>Output Data CDFI Uses</v>
      </c>
      <c r="C61" s="211">
        <f>INPUT!C158</f>
        <v>0</v>
      </c>
      <c r="D61" s="219"/>
      <c r="E61" s="211">
        <f>INPUT!E158</f>
        <v>0</v>
      </c>
      <c r="F61" s="219"/>
      <c r="G61" s="211">
        <f>INPUT!G158</f>
        <v>0</v>
      </c>
      <c r="H61" s="367" t="e">
        <f>#REF!</f>
        <v>#REF!</v>
      </c>
      <c r="I61" s="211" t="e">
        <f>INPUT!#REF!</f>
        <v>#REF!</v>
      </c>
      <c r="J61" s="367"/>
      <c r="K61" s="211">
        <f>INPUT!I158</f>
        <v>0</v>
      </c>
      <c r="L61" s="367"/>
      <c r="M61" s="211" t="e">
        <f>INPUT!#REF!</f>
        <v>#REF!</v>
      </c>
      <c r="N61" s="369"/>
      <c r="O61" s="412"/>
    </row>
    <row r="62" spans="1:15" x14ac:dyDescent="0.2">
      <c r="A62" s="422"/>
      <c r="B62" s="354" t="str">
        <f>INPUT!B159</f>
        <v>Output Data CDFI Uses</v>
      </c>
      <c r="C62" s="211">
        <f>INPUT!C159</f>
        <v>0</v>
      </c>
      <c r="D62" s="219"/>
      <c r="E62" s="211">
        <f>INPUT!E159</f>
        <v>0</v>
      </c>
      <c r="F62" s="219"/>
      <c r="G62" s="211">
        <f>INPUT!G159</f>
        <v>0</v>
      </c>
      <c r="H62" s="619" t="e">
        <f>#REF!</f>
        <v>#REF!</v>
      </c>
      <c r="I62" s="211" t="e">
        <f>INPUT!#REF!</f>
        <v>#REF!</v>
      </c>
      <c r="J62" s="619"/>
      <c r="K62" s="211">
        <f>INPUT!I159</f>
        <v>0</v>
      </c>
      <c r="L62" s="619"/>
      <c r="M62" s="211" t="e">
        <f>INPUT!#REF!</f>
        <v>#REF!</v>
      </c>
      <c r="N62" s="369"/>
      <c r="O62" s="412"/>
    </row>
    <row r="63" spans="1:15" x14ac:dyDescent="0.2">
      <c r="B63" s="354"/>
      <c r="C63" s="211"/>
      <c r="D63" s="219"/>
      <c r="E63" s="211"/>
      <c r="F63" s="219"/>
      <c r="G63" s="211"/>
      <c r="H63" s="608"/>
      <c r="I63" s="211"/>
      <c r="J63" s="608"/>
      <c r="K63" s="211"/>
      <c r="L63" s="608"/>
      <c r="M63" s="211"/>
      <c r="N63" s="369"/>
      <c r="O63" s="412"/>
    </row>
    <row r="64" spans="1:15" x14ac:dyDescent="0.2">
      <c r="A64" s="422" t="s">
        <v>360</v>
      </c>
      <c r="B64" s="354" t="str">
        <f>INPUT!B160</f>
        <v>Outcome Data CDFI Uses</v>
      </c>
      <c r="C64" s="211">
        <f>INPUT!C160</f>
        <v>0</v>
      </c>
      <c r="D64" s="219"/>
      <c r="E64" s="211">
        <f>INPUT!E160</f>
        <v>0</v>
      </c>
      <c r="F64" s="219"/>
      <c r="G64" s="211">
        <f>INPUT!G160</f>
        <v>0</v>
      </c>
      <c r="H64" s="619" t="e">
        <f>#REF!</f>
        <v>#REF!</v>
      </c>
      <c r="I64" s="211" t="e">
        <f>INPUT!#REF!</f>
        <v>#REF!</v>
      </c>
      <c r="J64" s="619"/>
      <c r="K64" s="211">
        <f>INPUT!I160</f>
        <v>0</v>
      </c>
      <c r="L64" s="619"/>
      <c r="M64" s="211" t="e">
        <f>INPUT!#REF!</f>
        <v>#REF!</v>
      </c>
      <c r="N64" s="369"/>
      <c r="O64" s="412"/>
    </row>
    <row r="65" spans="1:16" x14ac:dyDescent="0.2">
      <c r="A65" s="422"/>
      <c r="B65" s="354" t="str">
        <f>INPUT!B161</f>
        <v>Outcome Data CDFI Uses</v>
      </c>
      <c r="C65" s="211">
        <f>INPUT!C161</f>
        <v>0</v>
      </c>
      <c r="D65" s="219"/>
      <c r="E65" s="211">
        <f>INPUT!E161</f>
        <v>0</v>
      </c>
      <c r="F65" s="219"/>
      <c r="G65" s="211">
        <f>INPUT!G161</f>
        <v>0</v>
      </c>
      <c r="H65" s="619" t="e">
        <f>#REF!</f>
        <v>#REF!</v>
      </c>
      <c r="I65" s="211" t="e">
        <f>INPUT!#REF!</f>
        <v>#REF!</v>
      </c>
      <c r="J65" s="619"/>
      <c r="K65" s="211">
        <f>INPUT!I161</f>
        <v>0</v>
      </c>
      <c r="L65" s="619"/>
      <c r="M65" s="211" t="e">
        <f>INPUT!#REF!</f>
        <v>#REF!</v>
      </c>
      <c r="N65" s="369"/>
      <c r="O65" s="412"/>
    </row>
    <row r="66" spans="1:16" x14ac:dyDescent="0.2">
      <c r="A66" s="422"/>
      <c r="B66" s="354" t="str">
        <f>INPUT!B162</f>
        <v>Outcome Data CDFI Uses</v>
      </c>
      <c r="C66" s="211">
        <f>INPUT!C162</f>
        <v>0</v>
      </c>
      <c r="D66" s="219"/>
      <c r="E66" s="211">
        <f>INPUT!E162</f>
        <v>0</v>
      </c>
      <c r="F66" s="219"/>
      <c r="G66" s="211">
        <f>INPUT!G162</f>
        <v>0</v>
      </c>
      <c r="H66" s="608"/>
      <c r="I66" s="211" t="e">
        <f>INPUT!#REF!</f>
        <v>#REF!</v>
      </c>
      <c r="J66" s="608"/>
      <c r="K66" s="211">
        <f>INPUT!I162</f>
        <v>0</v>
      </c>
      <c r="L66" s="608"/>
      <c r="M66" s="211" t="e">
        <f>INPUT!#REF!</f>
        <v>#REF!</v>
      </c>
      <c r="N66" s="369"/>
      <c r="O66" s="412"/>
    </row>
    <row r="67" spans="1:16" x14ac:dyDescent="0.2">
      <c r="A67" s="422"/>
      <c r="B67" s="354" t="str">
        <f>INPUT!B163</f>
        <v>Outcome Data CDFI Uses</v>
      </c>
      <c r="C67" s="211">
        <f>INPUT!C163</f>
        <v>0</v>
      </c>
      <c r="D67" s="219"/>
      <c r="E67" s="211">
        <f>INPUT!E163</f>
        <v>0</v>
      </c>
      <c r="F67" s="219"/>
      <c r="G67" s="211">
        <f>INPUT!G163</f>
        <v>0</v>
      </c>
      <c r="H67" s="608"/>
      <c r="I67" s="211" t="e">
        <f>INPUT!#REF!</f>
        <v>#REF!</v>
      </c>
      <c r="J67" s="608"/>
      <c r="K67" s="211">
        <f>INPUT!I163</f>
        <v>0</v>
      </c>
      <c r="L67" s="608"/>
      <c r="M67" s="211" t="e">
        <f>INPUT!#REF!</f>
        <v>#REF!</v>
      </c>
      <c r="N67" s="369"/>
      <c r="O67" s="412"/>
    </row>
    <row r="68" spans="1:16" hidden="1" x14ac:dyDescent="0.2">
      <c r="A68" s="422"/>
      <c r="B68" s="354" t="e">
        <f>#REF!</f>
        <v>#REF!</v>
      </c>
      <c r="C68" s="341" t="e">
        <f>#REF!</f>
        <v>#REF!</v>
      </c>
      <c r="D68" s="12"/>
      <c r="E68" s="341" t="e">
        <f>#REF!</f>
        <v>#REF!</v>
      </c>
      <c r="F68" s="12"/>
      <c r="G68" s="341" t="e">
        <f>#REF!</f>
        <v>#REF!</v>
      </c>
      <c r="H68" s="369"/>
      <c r="I68" s="341" t="e">
        <f>#REF!</f>
        <v>#REF!</v>
      </c>
      <c r="J68" s="369"/>
      <c r="K68" s="341" t="e">
        <f>#REF!</f>
        <v>#REF!</v>
      </c>
      <c r="L68" s="369"/>
      <c r="M68" s="341" t="e">
        <f>#REF!</f>
        <v>#REF!</v>
      </c>
      <c r="N68" s="369"/>
      <c r="O68" s="412"/>
    </row>
    <row r="69" spans="1:16" hidden="1" x14ac:dyDescent="0.2">
      <c r="A69" s="422"/>
      <c r="B69" s="354" t="e">
        <f>#REF!</f>
        <v>#REF!</v>
      </c>
      <c r="C69" s="341" t="e">
        <f>#REF!</f>
        <v>#REF!</v>
      </c>
      <c r="D69" s="12"/>
      <c r="E69" s="341" t="e">
        <f>#REF!</f>
        <v>#REF!</v>
      </c>
      <c r="F69" s="12"/>
      <c r="G69" s="341" t="e">
        <f>#REF!</f>
        <v>#REF!</v>
      </c>
      <c r="H69" s="369"/>
      <c r="I69" s="341" t="e">
        <f>#REF!</f>
        <v>#REF!</v>
      </c>
      <c r="J69" s="369"/>
      <c r="K69" s="341" t="e">
        <f>#REF!</f>
        <v>#REF!</v>
      </c>
      <c r="L69" s="369"/>
      <c r="M69" s="341" t="e">
        <f>#REF!</f>
        <v>#REF!</v>
      </c>
      <c r="N69" s="369"/>
      <c r="O69" s="412"/>
    </row>
    <row r="70" spans="1:16" hidden="1" x14ac:dyDescent="0.2">
      <c r="A70" s="422"/>
      <c r="B70" s="354" t="e">
        <f>#REF!</f>
        <v>#REF!</v>
      </c>
      <c r="C70" s="341" t="e">
        <f>#REF!</f>
        <v>#REF!</v>
      </c>
      <c r="D70" s="12"/>
      <c r="E70" s="341" t="e">
        <f>#REF!</f>
        <v>#REF!</v>
      </c>
      <c r="F70" s="12"/>
      <c r="G70" s="341" t="e">
        <f>#REF!</f>
        <v>#REF!</v>
      </c>
      <c r="H70" s="369"/>
      <c r="I70" s="341" t="e">
        <f>#REF!</f>
        <v>#REF!</v>
      </c>
      <c r="J70" s="369"/>
      <c r="K70" s="341" t="e">
        <f>#REF!</f>
        <v>#REF!</v>
      </c>
      <c r="L70" s="369"/>
      <c r="M70" s="341" t="e">
        <f>#REF!</f>
        <v>#REF!</v>
      </c>
      <c r="N70" s="369"/>
      <c r="O70" s="412"/>
    </row>
    <row r="71" spans="1:16" hidden="1" x14ac:dyDescent="0.2">
      <c r="A71" s="12"/>
      <c r="B71" s="354" t="e">
        <f>#REF!</f>
        <v>#REF!</v>
      </c>
      <c r="C71" s="341" t="e">
        <f>#REF!</f>
        <v>#REF!</v>
      </c>
      <c r="D71" s="12"/>
      <c r="E71" s="341" t="e">
        <f>#REF!</f>
        <v>#REF!</v>
      </c>
      <c r="F71" s="12"/>
      <c r="G71" s="341" t="e">
        <f>#REF!</f>
        <v>#REF!</v>
      </c>
      <c r="H71" s="369"/>
      <c r="I71" s="341" t="e">
        <f>#REF!</f>
        <v>#REF!</v>
      </c>
      <c r="J71" s="369"/>
      <c r="K71" s="341" t="e">
        <f>#REF!</f>
        <v>#REF!</v>
      </c>
      <c r="L71" s="369"/>
      <c r="M71" s="341" t="e">
        <f>#REF!</f>
        <v>#REF!</v>
      </c>
      <c r="N71" s="369"/>
      <c r="O71" s="412"/>
    </row>
    <row r="72" spans="1:16" x14ac:dyDescent="0.2">
      <c r="A72" s="12"/>
      <c r="B72" s="354"/>
      <c r="C72" s="341"/>
      <c r="D72" s="12"/>
      <c r="E72" s="341"/>
      <c r="F72" s="12"/>
      <c r="G72" s="341"/>
      <c r="H72" s="369"/>
      <c r="I72" s="341"/>
      <c r="J72" s="301"/>
      <c r="K72" s="345"/>
      <c r="L72" s="301"/>
      <c r="M72" s="345"/>
      <c r="N72" s="301"/>
      <c r="O72" s="412"/>
    </row>
    <row r="73" spans="1:16" x14ac:dyDescent="0.2">
      <c r="A73" s="12"/>
      <c r="B73" s="354"/>
      <c r="C73" s="341"/>
      <c r="D73" s="12"/>
      <c r="E73" s="341"/>
      <c r="F73" s="12"/>
      <c r="G73" s="341"/>
      <c r="H73" s="369"/>
      <c r="I73" s="341"/>
      <c r="J73" s="301"/>
      <c r="K73" s="345"/>
      <c r="L73" s="301"/>
      <c r="M73" s="345"/>
      <c r="N73" s="301"/>
      <c r="O73" s="412"/>
    </row>
    <row r="74" spans="1:16" ht="28.5" customHeight="1" x14ac:dyDescent="0.2">
      <c r="A74" s="466" t="s">
        <v>336</v>
      </c>
      <c r="B74" s="777" t="s">
        <v>354</v>
      </c>
      <c r="C74" s="777"/>
      <c r="D74" s="777"/>
      <c r="E74" s="777"/>
      <c r="F74" s="777"/>
      <c r="G74" s="777"/>
      <c r="H74" s="777"/>
      <c r="I74" s="777"/>
      <c r="J74" s="777"/>
      <c r="K74" s="777"/>
      <c r="L74" s="777"/>
      <c r="M74" s="777"/>
      <c r="N74" s="25"/>
    </row>
    <row r="75" spans="1:16" ht="25.5" customHeight="1" x14ac:dyDescent="0.2">
      <c r="B75" s="777" t="s">
        <v>359</v>
      </c>
      <c r="C75" s="777"/>
      <c r="D75" s="777"/>
      <c r="E75" s="777"/>
      <c r="F75" s="777"/>
      <c r="G75" s="777"/>
      <c r="H75" s="777"/>
      <c r="I75" s="777"/>
      <c r="J75" s="777"/>
      <c r="K75" s="777"/>
      <c r="L75" s="777"/>
      <c r="M75" s="777"/>
      <c r="N75" s="5"/>
      <c r="O75" s="423"/>
      <c r="P75" s="25"/>
    </row>
    <row r="76" spans="1:16" ht="27" customHeight="1" x14ac:dyDescent="0.2">
      <c r="B76" s="778" t="s">
        <v>618</v>
      </c>
      <c r="C76" s="778"/>
      <c r="D76" s="778"/>
      <c r="E76" s="778"/>
      <c r="F76" s="778"/>
      <c r="G76" s="778"/>
      <c r="H76" s="778"/>
      <c r="I76" s="778"/>
      <c r="J76" s="778"/>
      <c r="K76" s="778"/>
      <c r="L76" s="778"/>
      <c r="M76" s="778"/>
      <c r="N76" s="25"/>
      <c r="P76" s="25"/>
    </row>
    <row r="77" spans="1:16" x14ac:dyDescent="0.2">
      <c r="B77" s="331"/>
      <c r="C77" s="328"/>
      <c r="D77" s="25"/>
      <c r="E77" s="328"/>
      <c r="F77" s="25"/>
      <c r="G77" s="328"/>
      <c r="I77" s="328"/>
      <c r="J77" s="25"/>
      <c r="K77" s="328"/>
      <c r="L77" s="25"/>
      <c r="M77" s="328"/>
      <c r="N77" s="25"/>
      <c r="P77" s="25"/>
    </row>
    <row r="78" spans="1:16" x14ac:dyDescent="0.2">
      <c r="B78" s="317"/>
      <c r="C78" s="328"/>
      <c r="D78" s="25"/>
      <c r="E78" s="328"/>
      <c r="F78" s="25"/>
      <c r="G78" s="328"/>
      <c r="I78" s="328"/>
      <c r="J78" s="25"/>
      <c r="K78" s="328"/>
      <c r="L78" s="25"/>
      <c r="M78" s="328"/>
      <c r="N78" s="25"/>
      <c r="P78" s="25"/>
    </row>
    <row r="79" spans="1:16" x14ac:dyDescent="0.2">
      <c r="B79" s="331"/>
      <c r="C79" s="328"/>
      <c r="D79" s="25"/>
      <c r="E79" s="328"/>
      <c r="F79" s="25"/>
      <c r="G79" s="328"/>
      <c r="I79" s="328"/>
      <c r="J79" s="25"/>
      <c r="K79" s="328"/>
      <c r="L79" s="25"/>
      <c r="M79" s="328"/>
      <c r="N79" s="25"/>
      <c r="P79" s="25"/>
    </row>
    <row r="80" spans="1:16" x14ac:dyDescent="0.2">
      <c r="C80" s="7"/>
      <c r="E80" s="7"/>
      <c r="G80" s="7"/>
      <c r="I80" s="7"/>
      <c r="J80" s="25"/>
      <c r="K80" s="7"/>
      <c r="L80" s="25"/>
      <c r="M80" s="7"/>
      <c r="N80" s="25"/>
    </row>
    <row r="81" spans="1:22" x14ac:dyDescent="0.2">
      <c r="C81" s="7"/>
      <c r="E81" s="7"/>
      <c r="G81" s="7"/>
      <c r="I81" s="7"/>
      <c r="J81" s="25"/>
      <c r="K81" s="7"/>
      <c r="L81" s="25"/>
      <c r="M81" s="7"/>
      <c r="N81" s="25"/>
    </row>
    <row r="82" spans="1:22" ht="18" x14ac:dyDescent="0.25">
      <c r="A82" s="248"/>
      <c r="J82" s="25"/>
      <c r="L82" s="25"/>
      <c r="N82" s="25"/>
    </row>
    <row r="83" spans="1:22" x14ac:dyDescent="0.2">
      <c r="A83" s="409" t="str">
        <f>A3</f>
        <v>SAMPLE</v>
      </c>
      <c r="C83" s="42" t="str">
        <f>C2</f>
        <v>FYE</v>
      </c>
      <c r="D83" s="24"/>
      <c r="E83" s="42" t="str">
        <f>E2</f>
        <v>FYE</v>
      </c>
      <c r="F83" s="24"/>
      <c r="G83" s="42" t="str">
        <f>G2</f>
        <v>FYE</v>
      </c>
      <c r="H83" s="370"/>
      <c r="I83" s="42" t="str">
        <f>I2</f>
        <v>FYE</v>
      </c>
      <c r="J83" s="373"/>
      <c r="K83" s="42" t="str">
        <f>K2</f>
        <v>FYE</v>
      </c>
      <c r="L83" s="373"/>
      <c r="M83" s="42" t="str">
        <f>M2</f>
        <v>INTERIM</v>
      </c>
      <c r="N83" s="373"/>
      <c r="O83" s="413"/>
      <c r="P83" s="24"/>
      <c r="Q83" s="24"/>
      <c r="R83" s="24"/>
      <c r="S83" s="24"/>
      <c r="T83" s="24"/>
      <c r="U83" s="24"/>
      <c r="V83" s="24"/>
    </row>
    <row r="84" spans="1:22" x14ac:dyDescent="0.2">
      <c r="A84" s="1" t="s">
        <v>137</v>
      </c>
      <c r="C84" s="42">
        <f>C3</f>
        <v>40908</v>
      </c>
      <c r="D84" s="24"/>
      <c r="E84" s="42">
        <f>E3</f>
        <v>41274</v>
      </c>
      <c r="F84" s="24"/>
      <c r="G84" s="42">
        <f>G3</f>
        <v>41639</v>
      </c>
      <c r="H84" s="370"/>
      <c r="I84" s="42" t="e">
        <f>I3</f>
        <v>#REF!</v>
      </c>
      <c r="J84" s="373"/>
      <c r="K84" s="42">
        <f>K3</f>
        <v>42004</v>
      </c>
      <c r="L84" s="373"/>
      <c r="M84" s="42" t="e">
        <f>M3</f>
        <v>#REF!</v>
      </c>
      <c r="N84" s="373"/>
      <c r="O84" s="413"/>
      <c r="P84" s="24"/>
      <c r="Q84" s="24"/>
      <c r="R84" s="24"/>
      <c r="S84" s="24"/>
      <c r="T84" s="24"/>
      <c r="U84" s="24"/>
      <c r="V84" s="24"/>
    </row>
    <row r="85" spans="1:22" x14ac:dyDescent="0.2">
      <c r="A85" s="12"/>
      <c r="B85" s="354"/>
      <c r="C85" s="354"/>
      <c r="D85" s="12"/>
      <c r="E85" s="354"/>
      <c r="F85" s="12"/>
      <c r="G85" s="354"/>
      <c r="H85" s="369"/>
      <c r="I85" s="354"/>
      <c r="J85" s="301"/>
      <c r="K85" s="354"/>
      <c r="L85" s="301"/>
      <c r="M85" s="354"/>
      <c r="N85" s="301"/>
      <c r="O85" s="412"/>
    </row>
    <row r="86" spans="1:22" x14ac:dyDescent="0.2">
      <c r="B86" s="354"/>
      <c r="C86" s="354"/>
      <c r="D86" s="12"/>
      <c r="E86" s="354"/>
      <c r="F86" s="12"/>
      <c r="G86" s="354"/>
      <c r="H86" s="369"/>
      <c r="I86" s="354"/>
      <c r="J86" s="301"/>
      <c r="K86" s="354"/>
      <c r="L86" s="301"/>
      <c r="M86" s="354"/>
      <c r="N86" s="301"/>
      <c r="O86" s="412"/>
    </row>
    <row r="87" spans="1:22" ht="12" customHeight="1" x14ac:dyDescent="0.2">
      <c r="A87" s="429" t="s">
        <v>130</v>
      </c>
      <c r="B87" s="345" t="s">
        <v>560</v>
      </c>
      <c r="C87" s="269">
        <f>'Stmt Position'!C60</f>
        <v>500000</v>
      </c>
      <c r="D87" s="269"/>
      <c r="E87" s="269">
        <f>'Stmt Position'!E60</f>
        <v>800000</v>
      </c>
      <c r="F87" s="271">
        <f>(E87-C87)/ABS(C87)</f>
        <v>0.6</v>
      </c>
      <c r="G87" s="269">
        <f>'Stmt Position'!G60</f>
        <v>700000</v>
      </c>
      <c r="H87" s="363">
        <f>(G87-E87)/ABS(E87)</f>
        <v>-0.125</v>
      </c>
      <c r="I87" s="269" t="e">
        <f>'Stmt Position'!#REF!</f>
        <v>#REF!</v>
      </c>
      <c r="J87" s="381"/>
      <c r="K87" s="269">
        <f>'Stmt Position'!I60</f>
        <v>1000000</v>
      </c>
      <c r="L87" s="381"/>
      <c r="M87" s="269" t="e">
        <f>'Stmt Position'!K60</f>
        <v>#REF!</v>
      </c>
      <c r="N87" s="381"/>
      <c r="O87" s="425"/>
    </row>
    <row r="88" spans="1:22" x14ac:dyDescent="0.2">
      <c r="A88" s="12"/>
      <c r="B88" s="345" t="s">
        <v>561</v>
      </c>
      <c r="C88" s="447">
        <f>'Stmt Position'!C63</f>
        <v>0</v>
      </c>
      <c r="D88" s="447"/>
      <c r="E88" s="447">
        <f>'Stmt Position'!E63</f>
        <v>0</v>
      </c>
      <c r="F88" s="381"/>
      <c r="G88" s="397">
        <f>'Stmt Position'!G63</f>
        <v>0</v>
      </c>
      <c r="H88" s="381"/>
      <c r="I88" s="447" t="e">
        <f>'Stmt Position'!#REF!</f>
        <v>#REF!</v>
      </c>
      <c r="J88" s="381"/>
      <c r="K88" s="447">
        <f>'Stmt Position'!I63</f>
        <v>0</v>
      </c>
      <c r="L88" s="381"/>
      <c r="M88" s="447" t="e">
        <f>'Stmt Position'!K63</f>
        <v>#REF!</v>
      </c>
      <c r="N88" s="381"/>
      <c r="O88" s="425"/>
    </row>
    <row r="89" spans="1:22" x14ac:dyDescent="0.2">
      <c r="A89" s="428"/>
      <c r="B89" s="345" t="s">
        <v>299</v>
      </c>
      <c r="C89" s="269">
        <f>'Stmt Position'!C38+'Stmt Position'!C46</f>
        <v>2750000</v>
      </c>
      <c r="D89" s="269"/>
      <c r="E89" s="269">
        <f>'Stmt Position'!E38+'Stmt Position'!E46</f>
        <v>3100000</v>
      </c>
      <c r="F89" s="271">
        <f>(E89-C89)/ABS(C89)</f>
        <v>0.12727272727272726</v>
      </c>
      <c r="G89" s="397">
        <f>'Stmt Position'!G38+'Stmt Position'!G46</f>
        <v>2500000</v>
      </c>
      <c r="H89" s="363">
        <f>(G89-E89)/ABS(E89)</f>
        <v>-0.19354838709677419</v>
      </c>
      <c r="I89" s="269" t="e">
        <f>'Stmt Position'!#REF!+'Stmt Position'!#REF!</f>
        <v>#REF!</v>
      </c>
      <c r="J89" s="381"/>
      <c r="K89" s="269">
        <f>'Stmt Position'!I38+'Stmt Position'!I46</f>
        <v>4000000</v>
      </c>
      <c r="L89" s="381"/>
      <c r="M89" s="269" t="e">
        <f>'Stmt Position'!K38+'Stmt Position'!K46</f>
        <v>#REF!</v>
      </c>
      <c r="N89" s="381"/>
      <c r="O89" s="425"/>
    </row>
    <row r="90" spans="1:22" x14ac:dyDescent="0.2">
      <c r="A90" s="428"/>
      <c r="B90" s="345" t="s">
        <v>537</v>
      </c>
      <c r="C90" s="269">
        <f>SUM(C87:C89)+C8+C18+C19</f>
        <v>4718000</v>
      </c>
      <c r="D90" s="269"/>
      <c r="E90" s="269">
        <f>SUM(E87:E89)+E8+E18+E19</f>
        <v>5432000</v>
      </c>
      <c r="F90" s="271"/>
      <c r="G90" s="269">
        <f>SUM(G87:G89)+G8+G18+G19</f>
        <v>5941000</v>
      </c>
      <c r="H90" s="363"/>
      <c r="I90" s="269" t="e">
        <f>SUM(I87:I89)+I8+I18+I19</f>
        <v>#REF!</v>
      </c>
      <c r="J90" s="381"/>
      <c r="K90" s="269">
        <f>SUM(K87:K89)+K8+K18+K19</f>
        <v>7568750</v>
      </c>
      <c r="L90" s="381"/>
      <c r="M90" s="269" t="e">
        <f>SUM(M87:M89)+M8+M18+M19</f>
        <v>#REF!</v>
      </c>
      <c r="N90" s="381"/>
      <c r="O90" s="425"/>
    </row>
    <row r="91" spans="1:22" x14ac:dyDescent="0.2">
      <c r="A91" s="429"/>
      <c r="B91" s="354"/>
      <c r="C91" s="354"/>
      <c r="D91" s="12"/>
      <c r="E91" s="354"/>
      <c r="F91" s="12"/>
      <c r="G91" s="382"/>
      <c r="H91" s="383"/>
      <c r="I91" s="382"/>
      <c r="J91" s="301"/>
      <c r="K91" s="382"/>
      <c r="L91" s="301"/>
      <c r="M91" s="382"/>
      <c r="N91" s="301"/>
      <c r="O91" s="412"/>
    </row>
    <row r="92" spans="1:22" x14ac:dyDescent="0.2">
      <c r="A92" s="422" t="s">
        <v>98</v>
      </c>
      <c r="B92" s="354"/>
      <c r="C92" s="354"/>
      <c r="D92" s="12"/>
      <c r="E92" s="354"/>
      <c r="F92" s="12"/>
      <c r="G92" s="354"/>
      <c r="H92" s="369"/>
      <c r="I92" s="354"/>
      <c r="J92" s="301"/>
      <c r="K92" s="354"/>
      <c r="L92" s="301"/>
      <c r="M92" s="354"/>
      <c r="N92" s="301"/>
      <c r="O92" s="412"/>
    </row>
    <row r="93" spans="1:22" x14ac:dyDescent="0.2">
      <c r="A93" s="390" t="s">
        <v>559</v>
      </c>
      <c r="B93" s="355" t="s">
        <v>362</v>
      </c>
      <c r="C93" s="382">
        <f>'Stmt Position'!C13+'Stmt Position'!C22</f>
        <v>3550000</v>
      </c>
      <c r="D93" s="12"/>
      <c r="E93" s="382">
        <f>'Stmt Position'!E13+'Stmt Position'!E22</f>
        <v>4050000</v>
      </c>
      <c r="F93" s="12"/>
      <c r="G93" s="382">
        <f>G49</f>
        <v>4875000</v>
      </c>
      <c r="H93" s="369"/>
      <c r="I93" s="382" t="e">
        <f>I49</f>
        <v>#REF!</v>
      </c>
      <c r="J93" s="301"/>
      <c r="K93" s="382">
        <f>K49</f>
        <v>5025000</v>
      </c>
      <c r="L93" s="301"/>
      <c r="M93" s="382" t="e">
        <f>M49</f>
        <v>#REF!</v>
      </c>
      <c r="N93" s="301"/>
      <c r="O93" s="412"/>
    </row>
    <row r="94" spans="1:22" s="32" customFormat="1" x14ac:dyDescent="0.2">
      <c r="A94" s="430"/>
      <c r="B94" s="384" t="s">
        <v>350</v>
      </c>
      <c r="C94" s="386">
        <f>INPUT!C138</f>
        <v>0</v>
      </c>
      <c r="D94" s="385"/>
      <c r="E94" s="386">
        <f>INPUT!E138</f>
        <v>0</v>
      </c>
      <c r="F94" s="385"/>
      <c r="G94" s="397">
        <f>INPUT!G138</f>
        <v>0</v>
      </c>
      <c r="H94" s="387"/>
      <c r="I94" s="19" t="e">
        <f>INPUT!#REF!</f>
        <v>#REF!</v>
      </c>
      <c r="J94" s="388"/>
      <c r="K94" s="19">
        <f>INPUT!I138</f>
        <v>0</v>
      </c>
      <c r="L94" s="388"/>
      <c r="M94" s="19" t="e">
        <f>INPUT!#REF!</f>
        <v>#REF!</v>
      </c>
      <c r="N94" s="389"/>
      <c r="O94" s="403"/>
    </row>
    <row r="95" spans="1:22" s="32" customFormat="1" x14ac:dyDescent="0.2">
      <c r="A95" s="395"/>
      <c r="B95" s="384" t="s">
        <v>351</v>
      </c>
      <c r="C95" s="386">
        <f>INPUT!C137</f>
        <v>0</v>
      </c>
      <c r="D95" s="385"/>
      <c r="E95" s="386">
        <f>INPUT!E137</f>
        <v>0</v>
      </c>
      <c r="F95" s="385"/>
      <c r="G95" s="397">
        <f>INPUT!G137</f>
        <v>0</v>
      </c>
      <c r="H95" s="387"/>
      <c r="I95" s="386" t="e">
        <f>INPUT!#REF!</f>
        <v>#REF!</v>
      </c>
      <c r="J95" s="388"/>
      <c r="K95" s="386">
        <f>INPUT!I137</f>
        <v>0</v>
      </c>
      <c r="L95" s="388"/>
      <c r="M95" s="386" t="e">
        <f>INPUT!#REF!</f>
        <v>#REF!</v>
      </c>
      <c r="N95" s="389"/>
      <c r="O95" s="403"/>
    </row>
    <row r="96" spans="1:22" s="32" customFormat="1" x14ac:dyDescent="0.2">
      <c r="A96" s="395"/>
      <c r="B96" s="384"/>
      <c r="C96" s="385"/>
      <c r="D96" s="385"/>
      <c r="E96" s="385"/>
      <c r="F96" s="385"/>
      <c r="G96" s="386"/>
      <c r="H96" s="387"/>
      <c r="I96" s="386"/>
      <c r="J96" s="388"/>
      <c r="K96" s="386"/>
      <c r="L96" s="388"/>
      <c r="M96" s="386"/>
      <c r="N96" s="389"/>
      <c r="O96" s="403"/>
    </row>
    <row r="97" spans="1:15" x14ac:dyDescent="0.2">
      <c r="A97" s="12"/>
      <c r="B97" s="391" t="s">
        <v>345</v>
      </c>
      <c r="C97" s="602">
        <f>('Stmt Position'!C24+'Stmt Position'!C15)/C7</f>
        <v>0.66722268557130937</v>
      </c>
      <c r="D97" s="603"/>
      <c r="E97" s="602">
        <f>('Stmt Position'!E24+'Stmt Position'!E15)/E7</f>
        <v>0.62316081010905311</v>
      </c>
      <c r="F97" s="603"/>
      <c r="G97" s="602">
        <f>('Stmt Position'!G24+'Stmt Position'!G15)/G7</f>
        <v>0.64603365384615385</v>
      </c>
      <c r="H97" s="604"/>
      <c r="I97" s="602" t="e">
        <f>('Stmt Position'!#REF!+'Stmt Position'!#REF!)/I7</f>
        <v>#REF!</v>
      </c>
      <c r="J97" s="605"/>
      <c r="K97" s="602">
        <f>('Stmt Position'!I24+'Stmt Position'!I15)/K7</f>
        <v>0.54868408816144332</v>
      </c>
      <c r="L97" s="606"/>
      <c r="M97" s="602" t="e">
        <f>('Stmt Position'!K24+'Stmt Position'!K15)/M7</f>
        <v>#REF!</v>
      </c>
      <c r="N97" s="301"/>
      <c r="O97" s="412"/>
    </row>
    <row r="98" spans="1:15" x14ac:dyDescent="0.2">
      <c r="A98" s="422"/>
      <c r="B98" s="354" t="s">
        <v>68</v>
      </c>
      <c r="C98" s="607">
        <f>'Stmt Position'!C25/'Stmt Position'!C32</f>
        <v>0</v>
      </c>
      <c r="D98" s="219"/>
      <c r="E98" s="607">
        <f>'Stmt Position'!E25/'Stmt Position'!E32</f>
        <v>0</v>
      </c>
      <c r="F98" s="219"/>
      <c r="G98" s="607">
        <f>'Stmt Position'!G25/'Stmt Position'!G32</f>
        <v>0</v>
      </c>
      <c r="H98" s="608"/>
      <c r="I98" s="607" t="e">
        <f>'Stmt Position'!#REF!/'Stmt Position'!#REF!</f>
        <v>#REF!</v>
      </c>
      <c r="J98" s="609"/>
      <c r="K98" s="607">
        <f>'Stmt Position'!I25/'Stmt Position'!I32</f>
        <v>0</v>
      </c>
      <c r="L98" s="609"/>
      <c r="M98" s="607" t="e">
        <f>'Stmt Position'!K25/'Stmt Position'!K32</f>
        <v>#REF!</v>
      </c>
      <c r="N98" s="301"/>
      <c r="O98" s="412"/>
    </row>
    <row r="99" spans="1:15" s="30" customFormat="1" x14ac:dyDescent="0.2">
      <c r="A99" s="390"/>
      <c r="B99" s="390" t="s">
        <v>344</v>
      </c>
      <c r="C99" s="603">
        <f>('Stmt Position'!C7+'Stmt Position'!C8)/'Stmt Position'!C32</f>
        <v>0.26584653878231862</v>
      </c>
      <c r="D99" s="610"/>
      <c r="E99" s="603">
        <f>('Stmt Position'!E7+'Stmt Position'!E8)/'Stmt Position'!E32</f>
        <v>0.3159079106802839</v>
      </c>
      <c r="F99" s="610"/>
      <c r="G99" s="603">
        <f>('Stmt Position'!G7+'Stmt Position'!G8)/'Stmt Position'!G32</f>
        <v>0.30048076923076922</v>
      </c>
      <c r="H99" s="604"/>
      <c r="I99" s="603" t="e">
        <f>('Stmt Position'!#REF!+'Stmt Position'!#REF!)/'Stmt Position'!#REF!</f>
        <v>#REF!</v>
      </c>
      <c r="J99" s="605"/>
      <c r="K99" s="603">
        <f>('Stmt Position'!I7+'Stmt Position'!I8)/'Stmt Position'!I32</f>
        <v>0.38748876282587807</v>
      </c>
      <c r="L99" s="605"/>
      <c r="M99" s="603" t="e">
        <f>('Stmt Position'!K7+'Stmt Position'!K8)/'Stmt Position'!K32</f>
        <v>#REF!</v>
      </c>
      <c r="N99" s="377"/>
      <c r="O99" s="393"/>
    </row>
    <row r="100" spans="1:15" s="30" customFormat="1" x14ac:dyDescent="0.2">
      <c r="A100" s="390"/>
      <c r="B100" s="390" t="s">
        <v>364</v>
      </c>
      <c r="C100" s="603">
        <f>'Stmt Position'!C26/'Stmt Position'!C32</f>
        <v>0</v>
      </c>
      <c r="D100" s="610"/>
      <c r="E100" s="603">
        <f>'Stmt Position'!E26/'Stmt Position'!E32</f>
        <v>0</v>
      </c>
      <c r="F100" s="610"/>
      <c r="G100" s="603">
        <f>'Stmt Position'!G26/'Stmt Position'!G32</f>
        <v>0</v>
      </c>
      <c r="H100" s="604"/>
      <c r="I100" s="603" t="e">
        <f>'Stmt Position'!#REF!/'Stmt Position'!#REF!</f>
        <v>#REF!</v>
      </c>
      <c r="J100" s="605"/>
      <c r="K100" s="603">
        <f>'Stmt Position'!I26/'Stmt Position'!I32</f>
        <v>0</v>
      </c>
      <c r="L100" s="605"/>
      <c r="M100" s="603" t="e">
        <f>'Stmt Position'!K26/'Stmt Position'!K32</f>
        <v>#REF!</v>
      </c>
      <c r="N100" s="377"/>
      <c r="O100" s="393"/>
    </row>
    <row r="101" spans="1:15" s="30" customFormat="1" x14ac:dyDescent="0.2">
      <c r="A101" s="390"/>
      <c r="B101" s="375"/>
      <c r="C101" s="378"/>
      <c r="D101" s="378"/>
      <c r="E101" s="378"/>
      <c r="F101" s="378"/>
      <c r="G101" s="378"/>
      <c r="H101" s="379"/>
      <c r="I101" s="378"/>
      <c r="J101" s="376"/>
      <c r="K101" s="378"/>
      <c r="L101" s="377"/>
      <c r="M101" s="378"/>
      <c r="N101" s="392"/>
      <c r="O101" s="393"/>
    </row>
    <row r="102" spans="1:15" s="30" customFormat="1" x14ac:dyDescent="0.2">
      <c r="A102" s="390" t="s">
        <v>562</v>
      </c>
      <c r="B102" s="377" t="s">
        <v>543</v>
      </c>
      <c r="C102" s="382">
        <f>-('Stmt Position'!C14+'Stmt Position'!C23)</f>
        <v>350000</v>
      </c>
      <c r="D102" s="378"/>
      <c r="E102" s="382">
        <f>-('Stmt Position'!E14+'Stmt Position'!E23)</f>
        <v>450000</v>
      </c>
      <c r="F102" s="378"/>
      <c r="G102" s="382">
        <f>-('Stmt Position'!G14+'Stmt Position'!G23)</f>
        <v>575000</v>
      </c>
      <c r="H102" s="394"/>
      <c r="I102" s="382" t="e">
        <f>-('Stmt Position'!#REF!+'Stmt Position'!#REF!)</f>
        <v>#REF!</v>
      </c>
      <c r="J102" s="376"/>
      <c r="K102" s="382">
        <f>-('Stmt Position'!I14+'Stmt Position'!I23)</f>
        <v>600000</v>
      </c>
      <c r="L102" s="377"/>
      <c r="M102" s="382" t="e">
        <f>-('Stmt Position'!K14+'Stmt Position'!K23)</f>
        <v>#REF!</v>
      </c>
      <c r="N102" s="392"/>
      <c r="O102" s="393"/>
    </row>
    <row r="103" spans="1:15" s="30" customFormat="1" x14ac:dyDescent="0.2">
      <c r="A103" s="390"/>
      <c r="B103" s="377" t="s">
        <v>542</v>
      </c>
      <c r="C103" s="382">
        <f>'Stmt Position'!C58+'Stmt Position'!C61</f>
        <v>0</v>
      </c>
      <c r="D103" s="378"/>
      <c r="E103" s="382">
        <f>'Stmt Position'!E58+'Stmt Position'!E61</f>
        <v>0</v>
      </c>
      <c r="F103" s="378"/>
      <c r="G103" s="382">
        <f>'Stmt Position'!G58+'Stmt Position'!G61</f>
        <v>0</v>
      </c>
      <c r="H103" s="394"/>
      <c r="I103" s="382" t="e">
        <f>'Stmt Position'!#REF!+'Stmt Position'!#REF!</f>
        <v>#REF!</v>
      </c>
      <c r="J103" s="376"/>
      <c r="K103" s="382">
        <f>'Stmt Position'!I58+'Stmt Position'!I61</f>
        <v>0</v>
      </c>
      <c r="L103" s="377"/>
      <c r="M103" s="382" t="e">
        <f>'Stmt Position'!K58+'Stmt Position'!K61</f>
        <v>#REF!</v>
      </c>
      <c r="N103" s="392"/>
      <c r="O103" s="393"/>
    </row>
    <row r="104" spans="1:15" s="30" customFormat="1" x14ac:dyDescent="0.2">
      <c r="A104" s="390"/>
      <c r="B104" s="375"/>
      <c r="C104" s="378"/>
      <c r="D104" s="378"/>
      <c r="E104" s="378"/>
      <c r="F104" s="378"/>
      <c r="G104" s="378"/>
      <c r="H104" s="379"/>
      <c r="I104" s="378"/>
      <c r="J104" s="376"/>
      <c r="K104" s="378"/>
      <c r="L104" s="377"/>
      <c r="M104" s="378"/>
      <c r="N104" s="392"/>
      <c r="O104" s="393"/>
    </row>
    <row r="105" spans="1:15" s="32" customFormat="1" x14ac:dyDescent="0.2">
      <c r="A105" s="395" t="s">
        <v>368</v>
      </c>
      <c r="B105" s="395"/>
      <c r="C105" s="395"/>
      <c r="D105" s="395"/>
      <c r="E105" s="395"/>
      <c r="F105" s="395"/>
      <c r="G105" s="395"/>
      <c r="H105" s="395"/>
      <c r="I105" s="395"/>
      <c r="J105" s="395"/>
      <c r="K105" s="395"/>
      <c r="L105" s="395"/>
      <c r="M105" s="395"/>
      <c r="N105" s="388"/>
      <c r="O105" s="403"/>
    </row>
    <row r="106" spans="1:15" s="32" customFormat="1" x14ac:dyDescent="0.2">
      <c r="A106" s="395" t="s">
        <v>369</v>
      </c>
      <c r="B106" s="353" t="s">
        <v>365</v>
      </c>
      <c r="C106" s="388" t="str">
        <f>IF(INPUT!C125="NA","NA",DOLLAR(INPUT!C125,-2))</f>
        <v>$100,000</v>
      </c>
      <c r="D106" s="388"/>
      <c r="E106" s="388" t="str">
        <f>IF(INPUT!E125="NA","NA",DOLLAR(INPUT!E125,-2))</f>
        <v>$150,000</v>
      </c>
      <c r="F106" s="388"/>
      <c r="G106" s="388" t="str">
        <f>IF(INPUT!G125="NA","NA",DOLLAR(INPUT!G125,-2))</f>
        <v>$50,000</v>
      </c>
      <c r="H106" s="387"/>
      <c r="I106" s="388" t="e">
        <f>IF(INPUT!#REF!="NA","NA",DOLLAR(INPUT!#REF!,-2))</f>
        <v>#REF!</v>
      </c>
      <c r="J106" s="388"/>
      <c r="K106" s="388" t="str">
        <f>IF(INPUT!I125="NA","NA",DOLLAR(INPUT!I125,-2))</f>
        <v>$100,000</v>
      </c>
      <c r="L106" s="388"/>
      <c r="M106" s="388" t="e">
        <f>IF(INPUT!#REF!="NA","NA",DOLLAR(INPUT!#REF!,-2))</f>
        <v>#REF!</v>
      </c>
      <c r="N106" s="388"/>
      <c r="O106" s="403"/>
    </row>
    <row r="107" spans="1:15" s="32" customFormat="1" x14ac:dyDescent="0.2">
      <c r="A107" s="395"/>
      <c r="B107" s="353" t="s">
        <v>419</v>
      </c>
      <c r="C107" s="388" t="str">
        <f>IF(INPUT!C126="NA","NA",DOLLAR(INPUT!C126,-2))</f>
        <v>$50,000</v>
      </c>
      <c r="D107" s="388"/>
      <c r="E107" s="388" t="str">
        <f>IF(INPUT!E126="NA","NA",DOLLAR(INPUT!E126,-2))</f>
        <v>$0</v>
      </c>
      <c r="F107" s="388"/>
      <c r="G107" s="388" t="str">
        <f>IF(INPUT!G126="NA","NA",DOLLAR(INPUT!G126,-2))</f>
        <v>$100,000</v>
      </c>
      <c r="H107" s="387"/>
      <c r="I107" s="388" t="e">
        <f>IF(INPUT!#REF!="NA","NA",DOLLAR(INPUT!#REF!,-2))</f>
        <v>#REF!</v>
      </c>
      <c r="J107" s="388"/>
      <c r="K107" s="388" t="str">
        <f>IF(INPUT!I126="NA","NA",DOLLAR(INPUT!I126,-2))</f>
        <v>$50,000</v>
      </c>
      <c r="L107" s="388"/>
      <c r="M107" s="388" t="e">
        <f>IF(INPUT!#REF!="NA","NA",DOLLAR(INPUT!#REF!,-2))</f>
        <v>#REF!</v>
      </c>
      <c r="N107" s="388"/>
      <c r="O107" s="403"/>
    </row>
    <row r="108" spans="1:15" s="32" customFormat="1" x14ac:dyDescent="0.2">
      <c r="A108" s="395"/>
      <c r="B108" s="353" t="s">
        <v>366</v>
      </c>
      <c r="C108" s="620" t="str">
        <f>IF(INPUT!C127="NA","NA",DOLLAR(INPUT!C127,-2))</f>
        <v>$25,000</v>
      </c>
      <c r="D108" s="620"/>
      <c r="E108" s="620" t="str">
        <f>IF(INPUT!E127="NA","NA",DOLLAR(INPUT!E127,-2))</f>
        <v>$75,000</v>
      </c>
      <c r="F108" s="620"/>
      <c r="G108" s="620" t="str">
        <f>IF(INPUT!G127="NA","NA",DOLLAR(INPUT!G127,-2))</f>
        <v>$5,000</v>
      </c>
      <c r="H108" s="621"/>
      <c r="I108" s="620" t="e">
        <f>IF(INPUT!#REF!="NA","NA",DOLLAR(INPUT!#REF!,-2))</f>
        <v>#REF!</v>
      </c>
      <c r="J108" s="620"/>
      <c r="K108" s="620" t="str">
        <f>IF(INPUT!I127="NA","NA",DOLLAR(INPUT!I127,-2))</f>
        <v>$65,000</v>
      </c>
      <c r="L108" s="620"/>
      <c r="M108" s="620" t="e">
        <f>IF(INPUT!#REF!="NA","NA",DOLLAR(INPUT!#REF!,-2))</f>
        <v>#REF!</v>
      </c>
      <c r="N108" s="388"/>
      <c r="O108" s="403"/>
    </row>
    <row r="109" spans="1:15" s="32" customFormat="1" ht="15.75" customHeight="1" x14ac:dyDescent="0.2">
      <c r="A109" s="395"/>
      <c r="B109" s="353" t="s">
        <v>367</v>
      </c>
      <c r="C109" s="388" t="str">
        <f>IF(INPUT!C128="NA","NA",DOLLAR(INPUT!C128,-2))</f>
        <v>$175,000</v>
      </c>
      <c r="D109" s="388"/>
      <c r="E109" s="388" t="str">
        <f>IF(INPUT!E128="NA","NA",DOLLAR(INPUT!E128,-2))</f>
        <v>$225,000</v>
      </c>
      <c r="F109" s="388"/>
      <c r="G109" s="388" t="str">
        <f>IF(INPUT!G128="NA","NA",DOLLAR(INPUT!G128,-2))</f>
        <v>$155,000</v>
      </c>
      <c r="H109" s="387"/>
      <c r="I109" s="388" t="e">
        <f>IF(INPUT!#REF!="NA","NA",DOLLAR(INPUT!#REF!,-2))</f>
        <v>#REF!</v>
      </c>
      <c r="J109" s="388"/>
      <c r="K109" s="388" t="str">
        <f>IF(INPUT!I128="NA","NA",DOLLAR(INPUT!I128,-2))</f>
        <v>$215,000</v>
      </c>
      <c r="L109" s="388"/>
      <c r="M109" s="388" t="e">
        <f>IF(INPUT!#REF!="NA","NA",DOLLAR(INPUT!#REF!,-2))</f>
        <v>#REF!</v>
      </c>
      <c r="N109" s="396"/>
      <c r="O109" s="403"/>
    </row>
    <row r="110" spans="1:15" s="32" customFormat="1" x14ac:dyDescent="0.2">
      <c r="A110" s="395"/>
      <c r="B110" s="301" t="s">
        <v>420</v>
      </c>
      <c r="C110" s="397">
        <f>INPUT!C130</f>
        <v>50000</v>
      </c>
      <c r="D110" s="398"/>
      <c r="E110" s="397">
        <f>INPUT!E130</f>
        <v>20000</v>
      </c>
      <c r="F110" s="398"/>
      <c r="G110" s="397">
        <f>INPUT!G130</f>
        <v>120000</v>
      </c>
      <c r="H110" s="399"/>
      <c r="I110" s="397" t="e">
        <f>INPUT!#REF!</f>
        <v>#REF!</v>
      </c>
      <c r="J110" s="396"/>
      <c r="K110" s="397">
        <f>INPUT!I130</f>
        <v>30000</v>
      </c>
      <c r="L110" s="396"/>
      <c r="M110" s="397" t="e">
        <f>INPUT!#REF!</f>
        <v>#REF!</v>
      </c>
      <c r="N110" s="396"/>
      <c r="O110" s="403"/>
    </row>
    <row r="111" spans="1:15" s="32" customFormat="1" x14ac:dyDescent="0.2">
      <c r="A111" s="395"/>
      <c r="B111" s="384" t="s">
        <v>207</v>
      </c>
      <c r="C111" s="397">
        <f>INPUT!C131</f>
        <v>10000</v>
      </c>
      <c r="D111" s="398"/>
      <c r="E111" s="397">
        <f>INPUT!E131</f>
        <v>18000</v>
      </c>
      <c r="F111" s="398"/>
      <c r="G111" s="397">
        <f>INPUT!G131</f>
        <v>50000</v>
      </c>
      <c r="H111" s="399"/>
      <c r="I111" s="397" t="e">
        <f>INPUT!#REF!</f>
        <v>#REF!</v>
      </c>
      <c r="J111" s="396"/>
      <c r="K111" s="397">
        <f>INPUT!I131</f>
        <v>0</v>
      </c>
      <c r="L111" s="396"/>
      <c r="M111" s="397" t="e">
        <f>INPUT!#REF!</f>
        <v>#REF!</v>
      </c>
      <c r="N111" s="396"/>
      <c r="O111" s="403"/>
    </row>
    <row r="112" spans="1:15" s="32" customFormat="1" ht="12" customHeight="1" x14ac:dyDescent="0.2">
      <c r="A112" s="395"/>
      <c r="B112" s="384" t="s">
        <v>430</v>
      </c>
      <c r="C112" s="397">
        <f>INPUT!C132</f>
        <v>40000</v>
      </c>
      <c r="D112" s="398"/>
      <c r="E112" s="397">
        <f>INPUT!E132</f>
        <v>2000</v>
      </c>
      <c r="F112" s="398"/>
      <c r="G112" s="397">
        <f>INPUT!G132</f>
        <v>70000</v>
      </c>
      <c r="H112" s="399"/>
      <c r="I112" s="397" t="e">
        <f>INPUT!#REF!</f>
        <v>#REF!</v>
      </c>
      <c r="J112" s="396"/>
      <c r="K112" s="397">
        <f>INPUT!I132</f>
        <v>30000</v>
      </c>
      <c r="L112" s="396"/>
      <c r="M112" s="397" t="e">
        <f>INPUT!#REF!</f>
        <v>#REF!</v>
      </c>
      <c r="N112" s="389"/>
      <c r="O112" s="403"/>
    </row>
    <row r="113" spans="1:15" x14ac:dyDescent="0.2">
      <c r="A113" s="422"/>
      <c r="B113" s="765" t="s">
        <v>627</v>
      </c>
      <c r="C113" s="385">
        <f>+INPUT!C152</f>
        <v>0</v>
      </c>
      <c r="D113" s="385"/>
      <c r="E113" s="385">
        <f>+INPUT!E152</f>
        <v>0</v>
      </c>
      <c r="F113" s="385"/>
      <c r="G113" s="385">
        <f>+INPUT!G152</f>
        <v>0</v>
      </c>
      <c r="H113" s="400"/>
      <c r="I113" s="385" t="e">
        <f>+INPUT!#REF!</f>
        <v>#REF!</v>
      </c>
      <c r="J113" s="389"/>
      <c r="K113" s="385">
        <f>+INPUT!I152</f>
        <v>0</v>
      </c>
      <c r="L113" s="389"/>
      <c r="M113" s="385" t="e">
        <f>+INPUT!#REF!</f>
        <v>#REF!</v>
      </c>
      <c r="N113" s="301"/>
      <c r="O113" s="412"/>
    </row>
    <row r="114" spans="1:15" x14ac:dyDescent="0.2">
      <c r="A114" s="422"/>
      <c r="B114" s="765" t="s">
        <v>628</v>
      </c>
      <c r="C114" s="385">
        <f>+INPUT!C153</f>
        <v>0</v>
      </c>
      <c r="D114" s="385"/>
      <c r="E114" s="385">
        <f>+INPUT!E153</f>
        <v>0</v>
      </c>
      <c r="F114" s="385"/>
      <c r="G114" s="385">
        <f>+INPUT!G153</f>
        <v>0</v>
      </c>
      <c r="H114" s="400"/>
      <c r="I114" s="385" t="e">
        <f>+INPUT!#REF!</f>
        <v>#REF!</v>
      </c>
      <c r="J114" s="389"/>
      <c r="K114" s="385">
        <f>+INPUT!I153</f>
        <v>0</v>
      </c>
      <c r="L114" s="389"/>
      <c r="M114" s="385" t="e">
        <f>+INPUT!#REF!</f>
        <v>#REF!</v>
      </c>
      <c r="N114" s="301"/>
      <c r="O114" s="412"/>
    </row>
    <row r="115" spans="1:15" x14ac:dyDescent="0.2">
      <c r="A115" s="422"/>
      <c r="B115" s="353"/>
      <c r="C115" s="385"/>
      <c r="D115" s="385"/>
      <c r="E115" s="385"/>
      <c r="F115" s="385"/>
      <c r="G115" s="385"/>
      <c r="H115" s="400"/>
      <c r="I115" s="385"/>
      <c r="J115" s="389"/>
      <c r="K115" s="385"/>
      <c r="L115" s="389"/>
      <c r="M115" s="385"/>
      <c r="N115" s="301"/>
      <c r="O115" s="412"/>
    </row>
    <row r="116" spans="1:15" s="30" customFormat="1" x14ac:dyDescent="0.2">
      <c r="A116" s="301" t="s">
        <v>370</v>
      </c>
      <c r="B116" s="353" t="s">
        <v>365</v>
      </c>
      <c r="C116" s="401">
        <f>IF(INPUT!C125="NA","NA",INPUT!C125/Sum!C49)</f>
        <v>2.8169014084507043E-2</v>
      </c>
      <c r="D116" s="401"/>
      <c r="E116" s="401">
        <f>IF(INPUT!E125="NA","NA",INPUT!E125/Sum!E49)</f>
        <v>3.7037037037037035E-2</v>
      </c>
      <c r="F116" s="401"/>
      <c r="G116" s="401">
        <f>IF(INPUT!G125="NA","NA",INPUT!G125/Sum!G49)</f>
        <v>1.0256410256410256E-2</v>
      </c>
      <c r="H116" s="402"/>
      <c r="I116" s="401" t="e">
        <f>IF(INPUT!#REF!="NA","NA",INPUT!#REF!/Sum!I49)</f>
        <v>#REF!</v>
      </c>
      <c r="J116" s="401"/>
      <c r="K116" s="401">
        <f>IF(INPUT!I125="NA","NA",INPUT!I125/Sum!K49)</f>
        <v>1.9900497512437811E-2</v>
      </c>
      <c r="L116" s="388"/>
      <c r="M116" s="401" t="e">
        <f>IF(INPUT!#REF!="NA","NA",INPUT!#REF!/Sum!M49)</f>
        <v>#REF!</v>
      </c>
      <c r="N116" s="388"/>
      <c r="O116" s="393"/>
    </row>
    <row r="117" spans="1:15" s="30" customFormat="1" x14ac:dyDescent="0.2">
      <c r="A117" s="390"/>
      <c r="B117" s="353" t="s">
        <v>419</v>
      </c>
      <c r="C117" s="401">
        <f>IF(INPUT!C126="NA","NA",INPUT!C126/Sum!C49)</f>
        <v>1.4084507042253521E-2</v>
      </c>
      <c r="D117" s="401"/>
      <c r="E117" s="401">
        <f>IF(INPUT!E126="NA","NA",INPUT!E126/Sum!E49)</f>
        <v>0</v>
      </c>
      <c r="F117" s="401"/>
      <c r="G117" s="401">
        <f>IF(INPUT!G126="NA","NA",INPUT!G126/Sum!G49)</f>
        <v>2.0512820512820513E-2</v>
      </c>
      <c r="H117" s="402"/>
      <c r="I117" s="401" t="e">
        <f>IF(INPUT!#REF!="NA","NA",INPUT!#REF!/Sum!I49)</f>
        <v>#REF!</v>
      </c>
      <c r="J117" s="401"/>
      <c r="K117" s="401">
        <f>IF(INPUT!I126="NA","NA",INPUT!I126/Sum!K49)</f>
        <v>9.9502487562189053E-3</v>
      </c>
      <c r="L117" s="388"/>
      <c r="M117" s="401" t="e">
        <f>IF(INPUT!#REF!="NA","NA",INPUT!#REF!/Sum!M49)</f>
        <v>#REF!</v>
      </c>
      <c r="N117" s="388"/>
      <c r="O117" s="393"/>
    </row>
    <row r="118" spans="1:15" s="30" customFormat="1" x14ac:dyDescent="0.2">
      <c r="A118" s="390"/>
      <c r="B118" s="353" t="s">
        <v>366</v>
      </c>
      <c r="C118" s="622">
        <f>IF(INPUT!C127="NA","NA",INPUT!C127/Sum!C49)</f>
        <v>7.0422535211267607E-3</v>
      </c>
      <c r="D118" s="622"/>
      <c r="E118" s="622">
        <f>IF(INPUT!E127="NA","NA",INPUT!E127/Sum!E49)</f>
        <v>1.8518518518518517E-2</v>
      </c>
      <c r="F118" s="622"/>
      <c r="G118" s="622">
        <f>IF(INPUT!G127="NA","NA",INPUT!G127/Sum!G49)</f>
        <v>1.0256410256410256E-3</v>
      </c>
      <c r="H118" s="623"/>
      <c r="I118" s="622" t="e">
        <f>IF(INPUT!#REF!="NA","NA",INPUT!#REF!/Sum!I49)</f>
        <v>#REF!</v>
      </c>
      <c r="J118" s="622"/>
      <c r="K118" s="622">
        <f>IF(INPUT!I127="NA","NA",INPUT!I127/Sum!K49)</f>
        <v>1.2935323383084577E-2</v>
      </c>
      <c r="L118" s="620"/>
      <c r="M118" s="622" t="e">
        <f>IF(INPUT!#REF!="NA","NA",INPUT!#REF!/Sum!M49)</f>
        <v>#REF!</v>
      </c>
      <c r="N118" s="388"/>
      <c r="O118" s="393"/>
    </row>
    <row r="119" spans="1:15" s="30" customFormat="1" x14ac:dyDescent="0.2">
      <c r="A119" s="390"/>
      <c r="B119" s="353" t="s">
        <v>367</v>
      </c>
      <c r="C119" s="401">
        <f>IF(INPUT!C128="NA","NA",INPUT!C128/Sum!C49)</f>
        <v>4.9295774647887321E-2</v>
      </c>
      <c r="D119" s="401"/>
      <c r="E119" s="401">
        <f>IF(INPUT!E128="NA","NA",INPUT!E128/Sum!E49)</f>
        <v>5.5555555555555552E-2</v>
      </c>
      <c r="F119" s="401"/>
      <c r="G119" s="401">
        <f>IF(INPUT!G128="NA","NA",INPUT!G128/Sum!G49)</f>
        <v>3.1794871794871796E-2</v>
      </c>
      <c r="H119" s="402"/>
      <c r="I119" s="401" t="e">
        <f>IF(INPUT!#REF!="NA","NA",INPUT!#REF!/Sum!I49)</f>
        <v>#REF!</v>
      </c>
      <c r="J119" s="401"/>
      <c r="K119" s="401">
        <f>IF(INPUT!I128="NA","NA",INPUT!I128/Sum!K49)</f>
        <v>4.2786069651741296E-2</v>
      </c>
      <c r="L119" s="388"/>
      <c r="M119" s="401" t="e">
        <f>IF(INPUT!#REF!="NA","NA",INPUT!#REF!/Sum!M49)</f>
        <v>#REF!</v>
      </c>
      <c r="N119" s="388"/>
      <c r="O119" s="393"/>
    </row>
    <row r="120" spans="1:15" s="30" customFormat="1" x14ac:dyDescent="0.2">
      <c r="A120" s="390"/>
      <c r="B120" s="301" t="s">
        <v>420</v>
      </c>
      <c r="C120" s="401">
        <f>C110/C49</f>
        <v>1.4084507042253521E-2</v>
      </c>
      <c r="D120" s="401"/>
      <c r="E120" s="401">
        <f>E110/E49</f>
        <v>4.9382716049382715E-3</v>
      </c>
      <c r="F120" s="401"/>
      <c r="G120" s="401">
        <f>G110/G49</f>
        <v>2.4615384615384615E-2</v>
      </c>
      <c r="H120" s="402"/>
      <c r="I120" s="401" t="e">
        <f>I110/I49</f>
        <v>#REF!</v>
      </c>
      <c r="J120" s="401"/>
      <c r="K120" s="401">
        <f>K110/K49</f>
        <v>5.9701492537313433E-3</v>
      </c>
      <c r="L120" s="388"/>
      <c r="M120" s="401" t="e">
        <f>M110/M49</f>
        <v>#REF!</v>
      </c>
      <c r="N120" s="388"/>
      <c r="O120" s="393"/>
    </row>
    <row r="121" spans="1:15" s="30" customFormat="1" x14ac:dyDescent="0.2">
      <c r="A121" s="390"/>
      <c r="B121" s="384" t="s">
        <v>207</v>
      </c>
      <c r="C121" s="401">
        <f>C111/C49</f>
        <v>2.8169014084507044E-3</v>
      </c>
      <c r="D121" s="375"/>
      <c r="E121" s="401">
        <f>E111/E49</f>
        <v>4.4444444444444444E-3</v>
      </c>
      <c r="F121" s="375"/>
      <c r="G121" s="401">
        <f>G111/G49</f>
        <v>1.0256410256410256E-2</v>
      </c>
      <c r="H121" s="380"/>
      <c r="I121" s="401" t="e">
        <f>I111/I49</f>
        <v>#REF!</v>
      </c>
      <c r="J121" s="377"/>
      <c r="K121" s="401">
        <f>K111/K49</f>
        <v>0</v>
      </c>
      <c r="L121" s="377"/>
      <c r="M121" s="401" t="e">
        <f>M111/M49</f>
        <v>#REF!</v>
      </c>
      <c r="N121" s="377"/>
      <c r="O121" s="393"/>
    </row>
    <row r="122" spans="1:15" s="30" customFormat="1" x14ac:dyDescent="0.2">
      <c r="A122" s="390"/>
      <c r="B122" s="384" t="s">
        <v>430</v>
      </c>
      <c r="C122" s="401">
        <f>C112/C49</f>
        <v>1.1267605633802818E-2</v>
      </c>
      <c r="D122" s="375"/>
      <c r="E122" s="401">
        <f>E112/E49</f>
        <v>4.9382716049382717E-4</v>
      </c>
      <c r="F122" s="375"/>
      <c r="G122" s="401">
        <f>G112/G49</f>
        <v>1.4358974358974359E-2</v>
      </c>
      <c r="H122" s="380"/>
      <c r="I122" s="401" t="e">
        <f>I112/I49</f>
        <v>#REF!</v>
      </c>
      <c r="J122" s="377"/>
      <c r="K122" s="401">
        <f>K112/K49</f>
        <v>5.9701492537313433E-3</v>
      </c>
      <c r="L122" s="377"/>
      <c r="M122" s="401" t="e">
        <f>M112/M49</f>
        <v>#REF!</v>
      </c>
      <c r="N122" s="377"/>
      <c r="O122" s="393"/>
    </row>
    <row r="123" spans="1:15" s="30" customFormat="1" x14ac:dyDescent="0.2">
      <c r="A123" s="390"/>
      <c r="B123" s="765" t="s">
        <v>627</v>
      </c>
      <c r="C123" s="766">
        <f>C113/C49</f>
        <v>0</v>
      </c>
      <c r="D123" s="344"/>
      <c r="E123" s="766">
        <f>E113/E49</f>
        <v>0</v>
      </c>
      <c r="F123" s="344"/>
      <c r="G123" s="766">
        <f>G113/G49</f>
        <v>0</v>
      </c>
      <c r="H123" s="365"/>
      <c r="I123" s="766" t="e">
        <f>I113/I49</f>
        <v>#REF!</v>
      </c>
      <c r="J123" s="346"/>
      <c r="K123" s="766">
        <f>K113/K49</f>
        <v>0</v>
      </c>
      <c r="L123" s="346"/>
      <c r="M123" s="766" t="e">
        <f>M113/M49</f>
        <v>#REF!</v>
      </c>
      <c r="N123" s="346"/>
      <c r="O123" s="393"/>
    </row>
    <row r="124" spans="1:15" s="30" customFormat="1" x14ac:dyDescent="0.2">
      <c r="A124" s="390"/>
      <c r="B124" s="765" t="s">
        <v>628</v>
      </c>
      <c r="C124" s="766">
        <f>C114/C49</f>
        <v>0</v>
      </c>
      <c r="D124" s="344"/>
      <c r="E124" s="766">
        <f>E114/E49</f>
        <v>0</v>
      </c>
      <c r="F124" s="344"/>
      <c r="G124" s="766">
        <f>G114/G49</f>
        <v>0</v>
      </c>
      <c r="H124" s="365"/>
      <c r="I124" s="766" t="e">
        <f>I114/I49</f>
        <v>#REF!</v>
      </c>
      <c r="J124" s="346"/>
      <c r="K124" s="766">
        <f>K114/K49</f>
        <v>0</v>
      </c>
      <c r="L124" s="346"/>
      <c r="M124" s="766" t="e">
        <f>M114/M49</f>
        <v>#REF!</v>
      </c>
      <c r="N124" s="346"/>
      <c r="O124" s="393"/>
    </row>
    <row r="125" spans="1:15" s="30" customFormat="1" x14ac:dyDescent="0.2">
      <c r="A125" s="390"/>
      <c r="B125" s="391"/>
      <c r="C125" s="431"/>
      <c r="D125" s="344"/>
      <c r="E125" s="431"/>
      <c r="F125" s="344"/>
      <c r="G125" s="431"/>
      <c r="H125" s="365"/>
      <c r="I125" s="431"/>
      <c r="J125" s="346"/>
      <c r="K125" s="431"/>
      <c r="L125" s="346"/>
      <c r="M125" s="431"/>
      <c r="N125" s="346"/>
      <c r="O125" s="393"/>
    </row>
    <row r="126" spans="1:15" s="357" customFormat="1" ht="16.5" customHeight="1" x14ac:dyDescent="0.2">
      <c r="A126" s="682" t="s">
        <v>171</v>
      </c>
      <c r="B126" s="384" t="s">
        <v>539</v>
      </c>
      <c r="C126" s="386">
        <f>INPUT!C149</f>
        <v>0</v>
      </c>
      <c r="D126" s="683"/>
      <c r="E126" s="386">
        <f>INPUT!E149</f>
        <v>0</v>
      </c>
      <c r="F126" s="683"/>
      <c r="G126" s="386">
        <f>INPUT!G149</f>
        <v>0</v>
      </c>
      <c r="H126" s="388"/>
      <c r="I126" s="386" t="e">
        <f>INPUT!#REF!</f>
        <v>#REF!</v>
      </c>
      <c r="J126" s="388"/>
      <c r="K126" s="386">
        <f>INPUT!I149</f>
        <v>0</v>
      </c>
      <c r="L126" s="388"/>
      <c r="M126" s="386" t="e">
        <f>INPUT!#REF!</f>
        <v>#REF!</v>
      </c>
      <c r="N126" s="389"/>
      <c r="O126" s="403"/>
    </row>
    <row r="127" spans="1:15" s="357" customFormat="1" x14ac:dyDescent="0.2">
      <c r="A127" s="682"/>
      <c r="B127" s="384" t="s">
        <v>540</v>
      </c>
      <c r="C127" s="386">
        <f>INPUT!C150</f>
        <v>0</v>
      </c>
      <c r="D127" s="683"/>
      <c r="E127" s="386">
        <f>INPUT!E150</f>
        <v>0</v>
      </c>
      <c r="F127" s="683"/>
      <c r="G127" s="386">
        <f>INPUT!G150</f>
        <v>0</v>
      </c>
      <c r="H127" s="388"/>
      <c r="I127" s="386" t="e">
        <f>INPUT!#REF!</f>
        <v>#REF!</v>
      </c>
      <c r="J127" s="388"/>
      <c r="K127" s="386">
        <f>INPUT!I150</f>
        <v>0</v>
      </c>
      <c r="L127" s="388"/>
      <c r="M127" s="386" t="e">
        <f>INPUT!#REF!</f>
        <v>#REF!</v>
      </c>
      <c r="N127" s="389"/>
      <c r="O127" s="403"/>
    </row>
    <row r="128" spans="1:15" s="357" customFormat="1" x14ac:dyDescent="0.2">
      <c r="A128" s="682"/>
      <c r="B128" s="684" t="s">
        <v>428</v>
      </c>
      <c r="C128" s="685" t="e">
        <f>C36/C94</f>
        <v>#DIV/0!</v>
      </c>
      <c r="D128" s="683"/>
      <c r="E128" s="685" t="e">
        <f>E36/E94</f>
        <v>#DIV/0!</v>
      </c>
      <c r="F128" s="683"/>
      <c r="G128" s="685" t="e">
        <f>G36/G94</f>
        <v>#DIV/0!</v>
      </c>
      <c r="H128" s="685"/>
      <c r="I128" s="685" t="e">
        <f>I36/I94</f>
        <v>#REF!</v>
      </c>
      <c r="J128" s="685"/>
      <c r="K128" s="685" t="e">
        <f>K36/K94</f>
        <v>#DIV/0!</v>
      </c>
      <c r="L128" s="685"/>
      <c r="M128" s="685" t="e">
        <f>M36/M94</f>
        <v>#REF!</v>
      </c>
      <c r="N128" s="389"/>
      <c r="O128" s="403"/>
    </row>
    <row r="129" spans="1:16" s="357" customFormat="1" x14ac:dyDescent="0.2">
      <c r="A129" s="682"/>
      <c r="B129" s="384" t="s">
        <v>429</v>
      </c>
      <c r="C129" s="386" t="e">
        <f>C93/C127</f>
        <v>#DIV/0!</v>
      </c>
      <c r="D129" s="683"/>
      <c r="E129" s="386" t="e">
        <f>E93/E127</f>
        <v>#DIV/0!</v>
      </c>
      <c r="F129" s="683"/>
      <c r="G129" s="386" t="e">
        <f>G93/G127</f>
        <v>#DIV/0!</v>
      </c>
      <c r="H129" s="388"/>
      <c r="I129" s="386" t="e">
        <f>I93/I127</f>
        <v>#REF!</v>
      </c>
      <c r="J129" s="388"/>
      <c r="K129" s="386" t="e">
        <f>K93/K127</f>
        <v>#DIV/0!</v>
      </c>
      <c r="L129" s="388"/>
      <c r="M129" s="386" t="e">
        <f>M93/M127</f>
        <v>#REF!</v>
      </c>
      <c r="N129" s="389"/>
      <c r="O129" s="403"/>
    </row>
    <row r="130" spans="1:16" x14ac:dyDescent="0.2">
      <c r="B130" s="424"/>
      <c r="C130" s="611"/>
      <c r="D130" s="219"/>
      <c r="E130" s="611"/>
      <c r="F130" s="219"/>
      <c r="G130" s="611"/>
      <c r="H130" s="608"/>
      <c r="I130" s="611"/>
      <c r="J130" s="609"/>
      <c r="K130" s="611"/>
      <c r="L130" s="609"/>
      <c r="M130" s="611"/>
      <c r="N130" s="301"/>
      <c r="O130" s="412"/>
    </row>
    <row r="131" spans="1:16" s="25" customFormat="1" x14ac:dyDescent="0.2">
      <c r="A131" s="422" t="s">
        <v>131</v>
      </c>
      <c r="B131" s="356" t="s">
        <v>353</v>
      </c>
      <c r="C131" s="407"/>
      <c r="D131" s="609"/>
      <c r="E131" s="407"/>
      <c r="F131" s="609"/>
      <c r="G131" s="405">
        <f>'Stmt Activities'!G8/(AVERAGE(Sum!G49,Sum!E49))</f>
        <v>3.3613445378151259E-2</v>
      </c>
      <c r="H131" s="608"/>
      <c r="I131" s="405" t="e">
        <f>'Stmt Activities'!I8/(AVERAGE(Sum!I49,Sum!G49))</f>
        <v>#REF!</v>
      </c>
      <c r="J131" s="609"/>
      <c r="K131" s="405" t="e">
        <f>'Stmt Activities'!K8/(AVERAGE(Sum!K49,Sum!I49))</f>
        <v>#REF!</v>
      </c>
      <c r="L131" s="609"/>
      <c r="M131" s="405" t="e">
        <f>'Stmt Activities'!M8/(AVERAGE(Sum!M49,Sum!K49))</f>
        <v>#REF!</v>
      </c>
      <c r="N131" s="301"/>
      <c r="O131" s="412"/>
    </row>
    <row r="132" spans="1:16" x14ac:dyDescent="0.2">
      <c r="A132" s="12"/>
      <c r="B132" s="356" t="s">
        <v>334</v>
      </c>
      <c r="C132" s="611"/>
      <c r="D132" s="219"/>
      <c r="E132" s="611"/>
      <c r="F132" s="612"/>
      <c r="G132" s="405">
        <f>-'Stmt Activities'!G11/AVERAGE((G89+G18+G19),(E89+E18+E19))</f>
        <v>2.2727272727272728E-2</v>
      </c>
      <c r="H132" s="613"/>
      <c r="I132" s="405" t="e">
        <f>-'Stmt Activities'!I11/AVERAGE((I89+I18+I19),(G89+G18+G19))</f>
        <v>#REF!</v>
      </c>
      <c r="J132" s="614"/>
      <c r="K132" s="405" t="e">
        <f>-'Stmt Activities'!K11/AVERAGE((K89+K18+K19),(I89+I18+I19))</f>
        <v>#REF!</v>
      </c>
      <c r="L132" s="614"/>
      <c r="M132" s="405" t="e">
        <f>-'Stmt Activities'!M11/AVERAGE((M89+M18+M19),(K89+K18+K19))</f>
        <v>#REF!</v>
      </c>
      <c r="N132" s="381"/>
      <c r="O132" s="412"/>
    </row>
    <row r="133" spans="1:16" x14ac:dyDescent="0.2">
      <c r="A133" s="12"/>
      <c r="B133" s="404" t="s">
        <v>90</v>
      </c>
      <c r="C133" s="611"/>
      <c r="D133" s="219"/>
      <c r="E133" s="611"/>
      <c r="F133" s="612"/>
      <c r="G133" s="405">
        <f>G131-G132</f>
        <v>1.0886172650878531E-2</v>
      </c>
      <c r="H133" s="613"/>
      <c r="I133" s="405" t="e">
        <f>I131-I132</f>
        <v>#REF!</v>
      </c>
      <c r="J133" s="614"/>
      <c r="K133" s="405" t="e">
        <f>K131-K132</f>
        <v>#REF!</v>
      </c>
      <c r="L133" s="614"/>
      <c r="M133" s="405" t="e">
        <f>M131-M132</f>
        <v>#REF!</v>
      </c>
      <c r="N133" s="381"/>
      <c r="O133" s="412"/>
    </row>
    <row r="134" spans="1:16" x14ac:dyDescent="0.2">
      <c r="A134" s="12"/>
      <c r="B134" s="354"/>
      <c r="C134" s="611"/>
      <c r="D134" s="219"/>
      <c r="E134" s="611"/>
      <c r="F134" s="219"/>
      <c r="G134" s="611"/>
      <c r="H134" s="608"/>
      <c r="I134" s="611"/>
      <c r="J134" s="609"/>
      <c r="K134" s="611"/>
      <c r="L134" s="609"/>
      <c r="M134" s="611"/>
      <c r="N134" s="301"/>
      <c r="O134" s="412"/>
    </row>
    <row r="135" spans="1:16" x14ac:dyDescent="0.2">
      <c r="A135" s="422" t="s">
        <v>77</v>
      </c>
      <c r="B135" s="354"/>
      <c r="C135" s="611"/>
      <c r="D135" s="219"/>
      <c r="E135" s="611"/>
      <c r="F135" s="219"/>
      <c r="G135" s="611"/>
      <c r="H135" s="608"/>
      <c r="I135" s="611"/>
      <c r="J135" s="609"/>
      <c r="K135" s="611"/>
      <c r="L135" s="609"/>
      <c r="M135" s="611"/>
      <c r="N135" s="301"/>
      <c r="O135" s="412"/>
    </row>
    <row r="136" spans="1:16" ht="25.5" x14ac:dyDescent="0.2">
      <c r="A136" s="12" t="s">
        <v>536</v>
      </c>
      <c r="B136" s="355" t="s">
        <v>541</v>
      </c>
      <c r="C136" s="406">
        <f>(C39-'Stmt Activities'!C13-'Stmt Activities'!C11+INPUT!C92)/-'Stmt Activities'!C11</f>
        <v>4.7866666666666671</v>
      </c>
      <c r="D136" s="407"/>
      <c r="E136" s="406">
        <f>(E39-'Stmt Activities'!E13-'Stmt Activities'!E11+INPUT!E92)/-'Stmt Activities'!E11</f>
        <v>8.0458333333333325</v>
      </c>
      <c r="F136" s="407"/>
      <c r="G136" s="406">
        <f>(G39-'Stmt Activities'!G13-'Stmt Activities'!G11+INPUT!G92)/-'Stmt Activities'!G11</f>
        <v>2.5866666666666664</v>
      </c>
      <c r="H136" s="408"/>
      <c r="I136" s="406" t="e">
        <f>(I39-'Stmt Activities'!I13-'Stmt Activities'!I11+INPUT!#REF!)/-'Stmt Activities'!I11</f>
        <v>#REF!</v>
      </c>
      <c r="J136" s="407"/>
      <c r="K136" s="406">
        <f>(K39-'Stmt Activities'!K13-'Stmt Activities'!K11+INPUT!I92)/-'Stmt Activities'!K11</f>
        <v>3.0863333333333332</v>
      </c>
      <c r="L136" s="407"/>
      <c r="M136" s="406" t="e">
        <f>(M39-'Stmt Activities'!M13-'Stmt Activities'!M11+INPUT!#REF!)/-'Stmt Activities'!M11</f>
        <v>#REF!</v>
      </c>
      <c r="N136" s="407"/>
      <c r="O136" s="412"/>
    </row>
    <row r="137" spans="1:16" x14ac:dyDescent="0.2">
      <c r="B137" s="295"/>
      <c r="C137" s="296"/>
      <c r="D137" s="110"/>
      <c r="E137" s="296"/>
      <c r="F137" s="110"/>
      <c r="G137" s="296"/>
      <c r="H137" s="371"/>
      <c r="I137" s="296"/>
      <c r="J137" s="110"/>
      <c r="K137" s="296"/>
      <c r="L137" s="110"/>
      <c r="M137" s="296"/>
      <c r="N137" s="110"/>
      <c r="P137" s="25"/>
    </row>
    <row r="138" spans="1:16" x14ac:dyDescent="0.2">
      <c r="A138" s="422" t="s">
        <v>336</v>
      </c>
      <c r="B138" s="355"/>
      <c r="C138" s="406"/>
      <c r="D138" s="407"/>
      <c r="E138" s="406"/>
      <c r="F138" s="407"/>
      <c r="G138" s="406"/>
      <c r="H138" s="408"/>
      <c r="I138" s="406"/>
      <c r="J138" s="407"/>
      <c r="K138" s="406"/>
      <c r="L138" s="407"/>
      <c r="M138" s="406"/>
      <c r="N138" s="110"/>
      <c r="P138" s="25"/>
    </row>
    <row r="139" spans="1:16" ht="24.75" customHeight="1" x14ac:dyDescent="0.2">
      <c r="A139" s="12"/>
      <c r="B139" s="776"/>
      <c r="C139" s="777"/>
      <c r="D139" s="777"/>
      <c r="E139" s="777"/>
      <c r="F139" s="777"/>
      <c r="G139" s="777"/>
      <c r="H139" s="777"/>
      <c r="I139" s="777"/>
      <c r="J139" s="777"/>
      <c r="K139" s="777"/>
      <c r="L139" s="777"/>
      <c r="M139" s="777"/>
      <c r="N139" s="110"/>
      <c r="P139" s="25"/>
    </row>
    <row r="140" spans="1:16" x14ac:dyDescent="0.2">
      <c r="A140" s="12"/>
      <c r="B140" s="14"/>
      <c r="C140" s="354"/>
      <c r="D140" s="12"/>
      <c r="E140" s="354"/>
      <c r="F140" s="12"/>
      <c r="G140" s="354"/>
      <c r="H140" s="369"/>
      <c r="I140" s="354"/>
      <c r="J140" s="301"/>
      <c r="K140" s="354"/>
      <c r="L140" s="301"/>
      <c r="M140" s="354"/>
      <c r="N140" s="25"/>
      <c r="P140" s="340"/>
    </row>
    <row r="141" spans="1:16" x14ac:dyDescent="0.2">
      <c r="J141" s="25"/>
      <c r="L141" s="25"/>
      <c r="N141" s="25"/>
    </row>
    <row r="142" spans="1:16" x14ac:dyDescent="0.2">
      <c r="J142" s="25"/>
      <c r="L142" s="25"/>
      <c r="N142" s="25"/>
    </row>
    <row r="143" spans="1:16" x14ac:dyDescent="0.2">
      <c r="B143"/>
      <c r="C143" s="27"/>
      <c r="D143" s="26"/>
      <c r="E143" s="27"/>
      <c r="F143" s="26"/>
      <c r="G143" s="27"/>
      <c r="H143" s="372"/>
      <c r="I143" s="27"/>
      <c r="J143" s="374"/>
      <c r="K143" s="27"/>
      <c r="L143" s="374"/>
      <c r="M143" s="27"/>
      <c r="N143" s="374"/>
    </row>
    <row r="144" spans="1:16" x14ac:dyDescent="0.2">
      <c r="J144" s="25"/>
      <c r="L144" s="25"/>
      <c r="N144" s="25"/>
    </row>
    <row r="145" spans="1:14" ht="24.75" customHeight="1" x14ac:dyDescent="0.2">
      <c r="A145" s="33" t="s">
        <v>621</v>
      </c>
      <c r="B145" s="34"/>
      <c r="C145" s="34"/>
      <c r="D145" s="35"/>
      <c r="E145" s="34"/>
      <c r="F145" s="35"/>
      <c r="G145" s="34"/>
      <c r="I145" s="34"/>
      <c r="J145" s="35"/>
      <c r="K145" s="34"/>
      <c r="L145" s="35"/>
      <c r="M145" s="34"/>
      <c r="N145" s="35"/>
    </row>
    <row r="146" spans="1:14" x14ac:dyDescent="0.2">
      <c r="A146" s="35"/>
      <c r="B146" s="37"/>
      <c r="C146" s="34"/>
      <c r="D146" s="35"/>
      <c r="E146" s="34"/>
      <c r="F146" s="35"/>
      <c r="G146" s="34"/>
      <c r="I146" s="34"/>
      <c r="J146" s="35"/>
      <c r="K146" s="34"/>
      <c r="L146" s="35"/>
      <c r="M146" s="34"/>
      <c r="N146" s="35"/>
    </row>
    <row r="147" spans="1:14" x14ac:dyDescent="0.2">
      <c r="A147" s="35"/>
      <c r="B147" s="36" t="s">
        <v>132</v>
      </c>
      <c r="C147" s="34"/>
      <c r="D147" s="35"/>
      <c r="E147" s="34"/>
      <c r="F147" s="35"/>
      <c r="G147" s="34"/>
      <c r="I147" s="34"/>
      <c r="J147" s="35"/>
      <c r="K147" s="34"/>
      <c r="L147" s="35"/>
      <c r="M147" s="34"/>
      <c r="N147" s="35"/>
    </row>
    <row r="148" spans="1:14" x14ac:dyDescent="0.2">
      <c r="A148" s="35"/>
      <c r="B148" s="34" t="s">
        <v>79</v>
      </c>
      <c r="C148" s="34"/>
      <c r="D148" s="35"/>
      <c r="E148" s="34"/>
      <c r="F148" s="35"/>
      <c r="G148" s="34"/>
      <c r="I148" s="34"/>
      <c r="J148" s="35"/>
      <c r="K148" s="34"/>
      <c r="L148" s="35"/>
      <c r="M148" s="34"/>
      <c r="N148" s="35"/>
    </row>
    <row r="149" spans="1:14" x14ac:dyDescent="0.2">
      <c r="A149" s="35"/>
      <c r="B149" s="34" t="s">
        <v>80</v>
      </c>
      <c r="C149" s="34"/>
      <c r="D149" s="35"/>
      <c r="E149" s="34"/>
      <c r="F149" s="35"/>
      <c r="G149" s="34"/>
      <c r="I149" s="34"/>
      <c r="J149" s="35"/>
      <c r="K149" s="34"/>
      <c r="L149" s="35"/>
      <c r="M149" s="34"/>
      <c r="N149" s="35"/>
    </row>
    <row r="150" spans="1:14" x14ac:dyDescent="0.2">
      <c r="A150" s="35"/>
      <c r="B150" s="34" t="s">
        <v>81</v>
      </c>
      <c r="C150" s="34"/>
      <c r="D150" s="35"/>
      <c r="E150" s="34"/>
      <c r="F150" s="35"/>
      <c r="G150" s="34"/>
      <c r="I150" s="34"/>
      <c r="J150" s="35"/>
      <c r="K150" s="34"/>
      <c r="L150" s="35"/>
      <c r="M150" s="34"/>
      <c r="N150" s="35"/>
    </row>
    <row r="151" spans="1:14" x14ac:dyDescent="0.2">
      <c r="A151" s="35"/>
      <c r="B151" s="34" t="s">
        <v>82</v>
      </c>
      <c r="C151" s="34"/>
      <c r="D151" s="35"/>
      <c r="E151" s="34"/>
      <c r="F151" s="35"/>
      <c r="G151" s="34"/>
      <c r="I151" s="34"/>
      <c r="J151" s="35"/>
      <c r="K151" s="34"/>
      <c r="L151" s="35"/>
      <c r="M151" s="34"/>
      <c r="N151" s="35"/>
    </row>
    <row r="152" spans="1:14" x14ac:dyDescent="0.2">
      <c r="A152" s="35"/>
      <c r="B152" s="34" t="s">
        <v>83</v>
      </c>
      <c r="C152" s="34"/>
      <c r="D152" s="35"/>
      <c r="E152" s="34"/>
      <c r="F152" s="35"/>
      <c r="G152" s="34"/>
      <c r="I152" s="34"/>
      <c r="J152" s="35"/>
      <c r="K152" s="34"/>
      <c r="L152" s="35"/>
      <c r="M152" s="34"/>
      <c r="N152" s="35"/>
    </row>
    <row r="153" spans="1:14" x14ac:dyDescent="0.2">
      <c r="A153" s="35"/>
      <c r="B153" s="34" t="s">
        <v>99</v>
      </c>
      <c r="C153" s="34"/>
      <c r="D153" s="35"/>
      <c r="E153" s="34"/>
      <c r="F153" s="35"/>
      <c r="G153" s="34"/>
      <c r="I153" s="34"/>
      <c r="J153" s="35"/>
      <c r="K153" s="34"/>
      <c r="L153" s="35"/>
      <c r="M153" s="34"/>
      <c r="N153" s="35"/>
    </row>
    <row r="154" spans="1:14" x14ac:dyDescent="0.2">
      <c r="A154" s="35"/>
      <c r="B154" s="34" t="s">
        <v>100</v>
      </c>
      <c r="C154" s="34"/>
      <c r="D154" s="35"/>
      <c r="E154" s="34"/>
      <c r="F154" s="35"/>
      <c r="G154" s="34"/>
      <c r="I154" s="34"/>
      <c r="J154" s="35"/>
      <c r="K154" s="34"/>
      <c r="L154" s="35"/>
      <c r="M154" s="34"/>
      <c r="N154" s="35"/>
    </row>
    <row r="155" spans="1:14" x14ac:dyDescent="0.2">
      <c r="A155" s="35"/>
      <c r="B155" s="34" t="s">
        <v>101</v>
      </c>
      <c r="C155" s="34"/>
      <c r="D155" s="35"/>
      <c r="E155" s="34"/>
      <c r="F155" s="35"/>
      <c r="G155" s="34"/>
      <c r="I155" s="34"/>
      <c r="J155" s="35"/>
      <c r="K155" s="34"/>
      <c r="L155" s="35"/>
      <c r="M155" s="34"/>
      <c r="N155" s="35"/>
    </row>
    <row r="156" spans="1:14" x14ac:dyDescent="0.2">
      <c r="A156" s="35"/>
      <c r="B156" s="34"/>
      <c r="C156" s="34"/>
      <c r="D156" s="35"/>
      <c r="E156" s="34"/>
      <c r="F156" s="35"/>
      <c r="G156" s="34"/>
      <c r="I156" s="34"/>
      <c r="J156" s="35"/>
      <c r="K156" s="34"/>
      <c r="L156" s="35"/>
      <c r="M156" s="34"/>
      <c r="N156" s="35"/>
    </row>
    <row r="157" spans="1:14" x14ac:dyDescent="0.2">
      <c r="A157" s="35"/>
      <c r="B157" s="36" t="s">
        <v>133</v>
      </c>
      <c r="C157" s="34"/>
      <c r="D157" s="35"/>
      <c r="E157" s="34"/>
      <c r="F157" s="35"/>
      <c r="G157" s="34"/>
      <c r="I157" s="34"/>
      <c r="J157" s="35"/>
      <c r="K157" s="34"/>
      <c r="L157" s="35"/>
      <c r="M157" s="34"/>
      <c r="N157" s="35"/>
    </row>
    <row r="158" spans="1:14" x14ac:dyDescent="0.2">
      <c r="A158" s="35"/>
      <c r="B158" s="34" t="s">
        <v>102</v>
      </c>
      <c r="C158" s="34"/>
      <c r="D158" s="35"/>
      <c r="E158" s="34"/>
      <c r="F158" s="35"/>
      <c r="G158" s="34"/>
      <c r="I158" s="34"/>
      <c r="J158" s="35"/>
      <c r="K158" s="34"/>
      <c r="L158" s="35"/>
      <c r="M158" s="34"/>
      <c r="N158" s="35"/>
    </row>
    <row r="159" spans="1:14" x14ac:dyDescent="0.2">
      <c r="A159" s="35"/>
      <c r="B159" s="34" t="s">
        <v>103</v>
      </c>
      <c r="C159" s="34"/>
      <c r="D159" s="35"/>
      <c r="E159" s="34"/>
      <c r="F159" s="35"/>
      <c r="G159" s="34"/>
      <c r="I159" s="34"/>
      <c r="J159" s="35"/>
      <c r="K159" s="34"/>
      <c r="L159" s="35"/>
      <c r="M159" s="34"/>
      <c r="N159" s="35"/>
    </row>
    <row r="160" spans="1:14" x14ac:dyDescent="0.2">
      <c r="A160" s="35"/>
      <c r="B160" s="34" t="s">
        <v>104</v>
      </c>
      <c r="C160" s="34"/>
      <c r="D160" s="35"/>
      <c r="E160" s="34"/>
      <c r="F160" s="35"/>
      <c r="G160" s="34"/>
      <c r="I160" s="34"/>
      <c r="J160" s="35"/>
      <c r="K160" s="34"/>
      <c r="L160" s="35"/>
      <c r="M160" s="34"/>
      <c r="N160" s="35"/>
    </row>
    <row r="161" spans="1:14" x14ac:dyDescent="0.2">
      <c r="A161" s="35"/>
      <c r="B161" s="34" t="s">
        <v>105</v>
      </c>
      <c r="C161" s="34"/>
      <c r="D161" s="35"/>
      <c r="E161" s="34"/>
      <c r="F161" s="35"/>
      <c r="G161" s="34"/>
      <c r="I161" s="34"/>
      <c r="J161" s="35"/>
      <c r="K161" s="34"/>
      <c r="L161" s="35"/>
      <c r="M161" s="34"/>
      <c r="N161" s="35"/>
    </row>
    <row r="162" spans="1:14" x14ac:dyDescent="0.2">
      <c r="A162" s="35"/>
      <c r="B162" s="34" t="s">
        <v>106</v>
      </c>
      <c r="C162" s="34"/>
      <c r="D162" s="35"/>
      <c r="E162" s="34"/>
      <c r="F162" s="35"/>
      <c r="G162" s="34"/>
      <c r="I162" s="34"/>
      <c r="J162" s="35"/>
      <c r="K162" s="34"/>
      <c r="L162" s="35"/>
      <c r="M162" s="34"/>
      <c r="N162" s="35"/>
    </row>
    <row r="163" spans="1:14" x14ac:dyDescent="0.2">
      <c r="A163" s="35"/>
      <c r="B163" s="34" t="s">
        <v>107</v>
      </c>
      <c r="C163" s="34"/>
      <c r="D163" s="35"/>
      <c r="E163" s="34"/>
      <c r="F163" s="35"/>
      <c r="G163" s="34"/>
      <c r="I163" s="34"/>
      <c r="J163" s="35"/>
      <c r="K163" s="34"/>
      <c r="L163" s="35"/>
      <c r="M163" s="34"/>
      <c r="N163" s="35"/>
    </row>
    <row r="164" spans="1:14" ht="15.75" customHeight="1" x14ac:dyDescent="0.2">
      <c r="A164" s="35"/>
      <c r="B164" s="34" t="s">
        <v>108</v>
      </c>
      <c r="C164" s="34"/>
      <c r="D164" s="35"/>
      <c r="E164" s="34"/>
      <c r="F164" s="35"/>
      <c r="G164" s="34"/>
      <c r="I164" s="34"/>
      <c r="J164" s="35"/>
      <c r="K164" s="34"/>
      <c r="L164" s="35"/>
      <c r="M164" s="34"/>
      <c r="N164" s="35"/>
    </row>
  </sheetData>
  <mergeCells count="4">
    <mergeCell ref="B139:M139"/>
    <mergeCell ref="B74:M74"/>
    <mergeCell ref="B75:M75"/>
    <mergeCell ref="B76:M76"/>
  </mergeCells>
  <phoneticPr fontId="3" type="noConversion"/>
  <pageMargins left="0.75" right="0.75" top="1" bottom="1" header="0.5" footer="0.5"/>
  <pageSetup scale="56" fitToHeight="2" orientation="portrait" horizontalDpi="360" verticalDpi="360" r:id="rId1"/>
  <headerFooter alignWithMargins="0"/>
  <rowBreaks count="1" manualBreakCount="1">
    <brk id="81" max="13" man="1"/>
  </row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60" zoomScaleNormal="100" workbookViewId="0">
      <selection activeCell="B48" sqref="B48"/>
    </sheetView>
  </sheetViews>
  <sheetFormatPr defaultRowHeight="12.75" x14ac:dyDescent="0.2"/>
  <cols>
    <col min="1" max="1" width="60.33203125" customWidth="1"/>
    <col min="2" max="2" width="15" customWidth="1"/>
    <col min="3" max="3" width="2.1640625" customWidth="1"/>
    <col min="4" max="4" width="15" customWidth="1"/>
    <col min="5" max="5" width="2.1640625" customWidth="1"/>
    <col min="6" max="6" width="15" customWidth="1"/>
    <col min="7" max="7" width="2.1640625" customWidth="1"/>
    <col min="8" max="8" width="15" customWidth="1"/>
  </cols>
  <sheetData>
    <row r="1" spans="1:8" x14ac:dyDescent="0.2">
      <c r="A1" s="11" t="str">
        <f>Sum!A3</f>
        <v>SAMPLE</v>
      </c>
    </row>
    <row r="2" spans="1:8" x14ac:dyDescent="0.2">
      <c r="B2" t="s">
        <v>150</v>
      </c>
    </row>
    <row r="3" spans="1:8" x14ac:dyDescent="0.2">
      <c r="A3" s="11" t="s">
        <v>151</v>
      </c>
    </row>
    <row r="4" spans="1:8" ht="13.5" thickBot="1" x14ac:dyDescent="0.25"/>
    <row r="5" spans="1:8" ht="16.5" x14ac:dyDescent="0.3">
      <c r="A5" s="51"/>
      <c r="B5" s="52" t="s">
        <v>152</v>
      </c>
      <c r="C5" s="52"/>
      <c r="D5" s="52" t="s">
        <v>152</v>
      </c>
      <c r="E5" s="52"/>
      <c r="F5" s="52" t="s">
        <v>152</v>
      </c>
      <c r="G5" s="52"/>
      <c r="H5" s="52" t="s">
        <v>204</v>
      </c>
    </row>
    <row r="6" spans="1:8" ht="17.25" thickBot="1" x14ac:dyDescent="0.35">
      <c r="A6" s="53"/>
      <c r="B6" s="54">
        <f>'Stmt Activities'!G4</f>
        <v>41639</v>
      </c>
      <c r="C6" s="54"/>
      <c r="D6" s="54" t="e">
        <f>'Stmt Activities'!I4</f>
        <v>#REF!</v>
      </c>
      <c r="E6" s="54"/>
      <c r="F6" s="54" t="e">
        <f>'Stmt Activities'!#REF!</f>
        <v>#REF!</v>
      </c>
      <c r="G6" s="54"/>
      <c r="H6" s="54" t="e">
        <f>'Stmt Activities'!#REF!</f>
        <v>#REF!</v>
      </c>
    </row>
    <row r="7" spans="1:8" ht="16.5" x14ac:dyDescent="0.3">
      <c r="A7" s="55" t="s">
        <v>153</v>
      </c>
      <c r="B7" s="56"/>
      <c r="C7" s="56"/>
      <c r="D7" s="56"/>
      <c r="E7" s="56"/>
      <c r="F7" s="56"/>
      <c r="G7" s="56"/>
      <c r="H7" s="56"/>
    </row>
    <row r="8" spans="1:8" ht="16.5" x14ac:dyDescent="0.3">
      <c r="A8" s="57" t="s">
        <v>154</v>
      </c>
      <c r="B8" s="58">
        <f>'Stmt Position'!G64/'Stmt Position'!G32</f>
        <v>0.36673677884615385</v>
      </c>
      <c r="C8" s="58"/>
      <c r="D8" s="58" t="e">
        <f>'Stmt Position'!#REF!/'Stmt Position'!#REF!</f>
        <v>#REF!</v>
      </c>
      <c r="E8" s="58"/>
      <c r="F8" s="58" t="e">
        <f>'Stmt Position'!#REF!/'Stmt Position'!#REF!</f>
        <v>#REF!</v>
      </c>
      <c r="G8" s="58"/>
      <c r="H8" s="58" t="e">
        <f>'Stmt Position'!#REF!/'Stmt Position'!#REF!</f>
        <v>#REF!</v>
      </c>
    </row>
    <row r="9" spans="1:8" ht="16.5" x14ac:dyDescent="0.3">
      <c r="A9" s="57" t="s">
        <v>155</v>
      </c>
      <c r="B9" s="59">
        <f>('Stmt Position'!G64+-'Stmt Position'!G23)/'Stmt Position'!G32</f>
        <v>0.36673677884615385</v>
      </c>
      <c r="C9" s="59"/>
      <c r="D9" s="59" t="e">
        <f>('Stmt Position'!#REF!+-'Stmt Position'!#REF!)/'Stmt Position'!#REF!</f>
        <v>#REF!</v>
      </c>
      <c r="E9" s="59"/>
      <c r="F9" s="59" t="e">
        <f>('Stmt Position'!#REF!+-'Stmt Position'!#REF!)/'Stmt Position'!#REF!</f>
        <v>#REF!</v>
      </c>
      <c r="G9" s="59"/>
      <c r="H9" s="59" t="e">
        <f>('Stmt Position'!#REF!+-'Stmt Position'!#REF!)/'Stmt Position'!#REF!</f>
        <v>#REF!</v>
      </c>
    </row>
    <row r="10" spans="1:8" ht="16.5" x14ac:dyDescent="0.3">
      <c r="A10" s="57" t="s">
        <v>205</v>
      </c>
      <c r="B10" s="59">
        <f>('Stmt Position'!G56+'Stmt Position'!G57)/'Stmt Position'!G32</f>
        <v>0.26156850961538464</v>
      </c>
      <c r="C10" s="59"/>
      <c r="D10" s="59" t="e">
        <f>('Stmt Position'!#REF!+'Stmt Position'!#REF!)/'Stmt Position'!#REF!</f>
        <v>#REF!</v>
      </c>
      <c r="E10" s="59"/>
      <c r="F10" s="59" t="e">
        <f>('Stmt Position'!#REF!+'Stmt Position'!#REF!)/'Stmt Position'!#REF!</f>
        <v>#REF!</v>
      </c>
      <c r="G10" s="59"/>
      <c r="H10" s="59" t="e">
        <f>('Stmt Position'!#REF!+'Stmt Position'!#REF!)/'Stmt Position'!#REF!</f>
        <v>#REF!</v>
      </c>
    </row>
    <row r="11" spans="1:8" ht="16.5" x14ac:dyDescent="0.3">
      <c r="A11" s="57" t="s">
        <v>206</v>
      </c>
      <c r="B11" s="59">
        <f>('Stmt Position'!G56+'Stmt Position'!G57)/'Stmt Position'!G64</f>
        <v>0.71323228185170018</v>
      </c>
      <c r="C11" s="59"/>
      <c r="D11" s="59" t="e">
        <f>('Stmt Position'!#REF!+'Stmt Position'!#REF!)/'Stmt Position'!#REF!</f>
        <v>#REF!</v>
      </c>
      <c r="E11" s="59"/>
      <c r="F11" s="59" t="e">
        <f>('Stmt Position'!#REF!+'Stmt Position'!#REF!)/'Stmt Position'!#REF!</f>
        <v>#REF!</v>
      </c>
      <c r="G11" s="59"/>
      <c r="H11" s="59" t="e">
        <f>('Stmt Position'!#REF!+'Stmt Position'!#REF!)/'Stmt Position'!#REF!</f>
        <v>#REF!</v>
      </c>
    </row>
    <row r="12" spans="1:8" ht="16.5" x14ac:dyDescent="0.3">
      <c r="A12" s="61" t="s">
        <v>156</v>
      </c>
      <c r="B12" s="62">
        <f>'Stmt Position'!G53/'Stmt Position'!G32</f>
        <v>0.65955528846153844</v>
      </c>
      <c r="C12" s="62"/>
      <c r="D12" s="62" t="e">
        <f>'Stmt Position'!#REF!/'Stmt Position'!#REF!</f>
        <v>#REF!</v>
      </c>
      <c r="E12" s="62"/>
      <c r="F12" s="62" t="e">
        <f>'Stmt Position'!#REF!/'Stmt Position'!#REF!</f>
        <v>#REF!</v>
      </c>
      <c r="G12" s="62"/>
      <c r="H12" s="62" t="e">
        <f>'Stmt Position'!#REF!/'Stmt Position'!#REF!</f>
        <v>#REF!</v>
      </c>
    </row>
    <row r="13" spans="1:8" ht="16.5" x14ac:dyDescent="0.3">
      <c r="A13" s="63"/>
      <c r="B13" s="64"/>
      <c r="C13" s="64"/>
      <c r="D13" s="65"/>
      <c r="E13" s="64"/>
      <c r="F13" s="65"/>
      <c r="G13" s="64"/>
      <c r="H13" s="64"/>
    </row>
    <row r="14" spans="1:8" ht="16.5" x14ac:dyDescent="0.3">
      <c r="A14" s="55" t="s">
        <v>98</v>
      </c>
      <c r="B14" s="59"/>
      <c r="C14" s="62"/>
      <c r="D14" s="56"/>
      <c r="E14" s="62"/>
      <c r="F14" s="56"/>
      <c r="G14" s="62"/>
      <c r="H14" s="64"/>
    </row>
    <row r="15" spans="1:8" ht="16.5" x14ac:dyDescent="0.3">
      <c r="A15" s="57" t="s">
        <v>224</v>
      </c>
      <c r="B15" s="111">
        <f>Sum!E117</f>
        <v>0</v>
      </c>
      <c r="C15" s="111"/>
      <c r="D15" s="111">
        <f>Sum!G117</f>
        <v>2.0512820512820513E-2</v>
      </c>
      <c r="E15" s="111"/>
      <c r="F15" s="111" t="e">
        <f>Sum!I117</f>
        <v>#REF!</v>
      </c>
      <c r="G15" s="111"/>
      <c r="H15" s="111" t="e">
        <f>Sum!#REF!</f>
        <v>#REF!</v>
      </c>
    </row>
    <row r="16" spans="1:8" ht="16.5" x14ac:dyDescent="0.3">
      <c r="A16" s="57" t="s">
        <v>225</v>
      </c>
      <c r="B16" s="60">
        <f>Sum!E118</f>
        <v>1.8518518518518517E-2</v>
      </c>
      <c r="C16" s="60"/>
      <c r="D16" s="60">
        <f>Sum!G118</f>
        <v>1.0256410256410256E-3</v>
      </c>
      <c r="E16" s="60"/>
      <c r="F16" s="60" t="e">
        <f>Sum!I118</f>
        <v>#REF!</v>
      </c>
      <c r="G16" s="60"/>
      <c r="H16" s="60" t="e">
        <f>Sum!#REF!</f>
        <v>#REF!</v>
      </c>
    </row>
    <row r="17" spans="1:8" ht="16.5" x14ac:dyDescent="0.3">
      <c r="A17" s="57" t="s">
        <v>157</v>
      </c>
      <c r="B17" s="60">
        <f>IF(COUNT(Sum!E110)=1,Sum!E110/'B of A Ratios'!B21,"NA")</f>
        <v>4.1025641025641026E-3</v>
      </c>
      <c r="C17" s="60"/>
      <c r="D17" s="60" t="e">
        <f>IF(COUNT(Sum!G110)=1,Sum!G110/'B of A Ratios'!D21,"NA")</f>
        <v>#REF!</v>
      </c>
      <c r="E17" s="60"/>
      <c r="F17" s="60" t="str">
        <f>IF(COUNT(Sum!I110)=1,Sum!I110/'B of A Ratios'!F21,"NA")</f>
        <v>NA</v>
      </c>
      <c r="G17" s="60"/>
      <c r="H17" s="60" t="str">
        <f>IF(COUNT(Sum!#REF!)=1,Sum!#REF!/'B of A Ratios'!H21,"NA")</f>
        <v>NA</v>
      </c>
    </row>
    <row r="18" spans="1:8" ht="16.5" x14ac:dyDescent="0.3">
      <c r="A18" s="66" t="s">
        <v>158</v>
      </c>
      <c r="B18" s="60" t="e">
        <f>IF(COUNT(INPUT!G131)=1,INPUT!B131/INPUT!G130,"NA")</f>
        <v>#VALUE!</v>
      </c>
      <c r="C18" s="60"/>
      <c r="D18" s="60" t="str">
        <f>IF(COUNT(INPUT!#REF!)=1,INPUT!H131/INPUT!G130,"NA")</f>
        <v>NA</v>
      </c>
      <c r="E18" s="60"/>
      <c r="F18" s="60" t="str">
        <f>IF(COUNT(INPUT!#REF!)=1,INPUT!#REF!/INPUT!#REF!,"NA")</f>
        <v>NA</v>
      </c>
      <c r="G18" s="60"/>
      <c r="H18" s="60" t="str">
        <f>IF(COUNT(INPUT!#REF!)=1,INPUT!#REF!/INPUT!#REF!,"NA")</f>
        <v>NA</v>
      </c>
    </row>
    <row r="19" spans="1:8" ht="16.5" x14ac:dyDescent="0.3">
      <c r="A19" s="57" t="s">
        <v>159</v>
      </c>
      <c r="B19" s="60">
        <f>Sum!E30</f>
        <v>0.1111111111111111</v>
      </c>
      <c r="C19" s="60"/>
      <c r="D19" s="60">
        <f>Sum!G30</f>
        <v>0.11794871794871795</v>
      </c>
      <c r="E19" s="60"/>
      <c r="F19" s="60" t="e">
        <f>Sum!I30</f>
        <v>#REF!</v>
      </c>
      <c r="G19" s="60"/>
      <c r="H19" s="60" t="e">
        <f>Sum!#REF!</f>
        <v>#REF!</v>
      </c>
    </row>
    <row r="20" spans="1:8" ht="16.5" x14ac:dyDescent="0.3">
      <c r="A20" s="57" t="s">
        <v>160</v>
      </c>
      <c r="B20" s="107" t="s">
        <v>149</v>
      </c>
      <c r="C20" s="107"/>
      <c r="D20" s="107" t="s">
        <v>149</v>
      </c>
      <c r="E20" s="107"/>
      <c r="F20" s="107" t="s">
        <v>149</v>
      </c>
      <c r="G20" s="107"/>
      <c r="H20" s="107" t="s">
        <v>149</v>
      </c>
    </row>
    <row r="21" spans="1:8" ht="16.5" x14ac:dyDescent="0.3">
      <c r="A21" s="57" t="s">
        <v>161</v>
      </c>
      <c r="B21" s="67">
        <f>'Stmt Position'!G13+'Stmt Position'!G22</f>
        <v>4875000</v>
      </c>
      <c r="C21" s="67"/>
      <c r="D21" s="67" t="e">
        <f>'Stmt Position'!#REF!+'Stmt Position'!#REF!</f>
        <v>#REF!</v>
      </c>
      <c r="E21" s="67"/>
      <c r="F21" s="67" t="e">
        <f>'Stmt Position'!#REF!+'Stmt Position'!#REF!</f>
        <v>#REF!</v>
      </c>
      <c r="G21" s="67"/>
      <c r="H21" s="67" t="e">
        <f>'Stmt Position'!#REF!+'Stmt Position'!#REF!</f>
        <v>#REF!</v>
      </c>
    </row>
    <row r="22" spans="1:8" ht="16.5" x14ac:dyDescent="0.3">
      <c r="A22" s="57" t="s">
        <v>162</v>
      </c>
      <c r="B22" s="67">
        <f>'Stmt Position'!G38+'Stmt Position'!G46</f>
        <v>2500000</v>
      </c>
      <c r="C22" s="67"/>
      <c r="D22" s="67" t="e">
        <f>'Stmt Position'!#REF!+'Stmt Position'!#REF!</f>
        <v>#REF!</v>
      </c>
      <c r="E22" s="67"/>
      <c r="F22" s="67" t="e">
        <f>'Stmt Position'!#REF!+'Stmt Position'!#REF!</f>
        <v>#REF!</v>
      </c>
      <c r="G22" s="67"/>
      <c r="H22" s="67" t="e">
        <f>'Stmt Position'!#REF!+'Stmt Position'!#REF!</f>
        <v>#REF!</v>
      </c>
    </row>
    <row r="23" spans="1:8" ht="16.5" x14ac:dyDescent="0.3">
      <c r="A23" s="66" t="s">
        <v>163</v>
      </c>
      <c r="B23" s="60" t="e">
        <f>IF(COUNT(B24)=1,B21/B24,"NA")</f>
        <v>#DIV/0!</v>
      </c>
      <c r="C23" s="112"/>
      <c r="D23" s="60" t="str">
        <f>IF(COUNT(D24)=1,D21/D24,"NA")</f>
        <v>NA</v>
      </c>
      <c r="E23" s="113"/>
      <c r="F23" s="60" t="str">
        <f>IF(COUNT(F24)=1,F21/F24,"NA")</f>
        <v>NA</v>
      </c>
      <c r="G23" s="113"/>
      <c r="H23" s="60" t="str">
        <f>IF(COUNT(H24)=1,H21/H24,"NA")</f>
        <v>NA</v>
      </c>
    </row>
    <row r="24" spans="1:8" ht="16.5" x14ac:dyDescent="0.3">
      <c r="A24" s="57" t="s">
        <v>164</v>
      </c>
      <c r="B24" s="60">
        <f>INPUT!G138</f>
        <v>0</v>
      </c>
      <c r="C24" s="60"/>
      <c r="D24" s="60" t="e">
        <f>INPUT!#REF!</f>
        <v>#REF!</v>
      </c>
      <c r="E24" s="60"/>
      <c r="F24" s="60" t="e">
        <f>INPUT!#REF!</f>
        <v>#REF!</v>
      </c>
      <c r="G24" s="60"/>
      <c r="H24" s="60" t="e">
        <f>INPUT!#REF!</f>
        <v>#REF!</v>
      </c>
    </row>
    <row r="25" spans="1:8" ht="16.5" x14ac:dyDescent="0.3">
      <c r="A25" s="66" t="s">
        <v>165</v>
      </c>
      <c r="B25" s="123">
        <f>INPUT!G126</f>
        <v>100000</v>
      </c>
      <c r="C25" s="123"/>
      <c r="D25" s="123" t="e">
        <f>INPUT!#REF!</f>
        <v>#REF!</v>
      </c>
      <c r="E25" s="123"/>
      <c r="F25" s="123" t="e">
        <f>INPUT!#REF!</f>
        <v>#REF!</v>
      </c>
      <c r="G25" s="123"/>
      <c r="H25" s="124" t="e">
        <f>INPUT!#REF!+INPUT!#REF!</f>
        <v>#REF!</v>
      </c>
    </row>
    <row r="26" spans="1:8" ht="16.5" x14ac:dyDescent="0.3">
      <c r="A26" s="66" t="s">
        <v>166</v>
      </c>
      <c r="B26" s="123">
        <f>INPUT!G127</f>
        <v>5000</v>
      </c>
      <c r="C26" s="123"/>
      <c r="D26" s="123" t="e">
        <f>INPUT!#REF!</f>
        <v>#REF!</v>
      </c>
      <c r="E26" s="123"/>
      <c r="F26" s="123" t="e">
        <f>INPUT!#REF!</f>
        <v>#REF!</v>
      </c>
      <c r="G26" s="123"/>
      <c r="H26" s="124" t="e">
        <f>INPUT!#REF!</f>
        <v>#REF!</v>
      </c>
    </row>
    <row r="27" spans="1:8" ht="16.5" x14ac:dyDescent="0.3">
      <c r="A27" s="57" t="s">
        <v>167</v>
      </c>
      <c r="B27" s="123">
        <f>INPUT!G131</f>
        <v>50000</v>
      </c>
      <c r="C27" s="123"/>
      <c r="D27" s="123" t="e">
        <f>INPUT!#REF!</f>
        <v>#REF!</v>
      </c>
      <c r="E27" s="123"/>
      <c r="F27" s="123" t="e">
        <f>INPUT!#REF!</f>
        <v>#REF!</v>
      </c>
      <c r="G27" s="123"/>
      <c r="H27" s="124" t="e">
        <f>INPUT!#REF!</f>
        <v>#REF!</v>
      </c>
    </row>
    <row r="28" spans="1:8" ht="16.5" x14ac:dyDescent="0.3">
      <c r="A28" s="57" t="s">
        <v>168</v>
      </c>
      <c r="B28" s="123">
        <f>INPUT!G130</f>
        <v>120000</v>
      </c>
      <c r="C28" s="123"/>
      <c r="D28" s="123" t="e">
        <f>INPUT!#REF!</f>
        <v>#REF!</v>
      </c>
      <c r="E28" s="123"/>
      <c r="F28" s="123" t="e">
        <f>INPUT!#REF!</f>
        <v>#REF!</v>
      </c>
      <c r="G28" s="123"/>
      <c r="H28" s="124" t="e">
        <f>INPUT!#REF!</f>
        <v>#REF!</v>
      </c>
    </row>
    <row r="29" spans="1:8" ht="16.5" x14ac:dyDescent="0.3">
      <c r="A29" s="57" t="s">
        <v>169</v>
      </c>
      <c r="B29" s="107" t="s">
        <v>149</v>
      </c>
      <c r="C29" s="107"/>
      <c r="D29" s="107" t="s">
        <v>149</v>
      </c>
      <c r="E29" s="107"/>
      <c r="F29" s="107" t="s">
        <v>149</v>
      </c>
      <c r="G29" s="107"/>
      <c r="H29" s="107" t="s">
        <v>149</v>
      </c>
    </row>
    <row r="30" spans="1:8" ht="17.25" thickBot="1" x14ac:dyDescent="0.35">
      <c r="A30" s="57" t="s">
        <v>170</v>
      </c>
      <c r="B30" s="107" t="s">
        <v>149</v>
      </c>
      <c r="C30" s="107"/>
      <c r="D30" s="107" t="s">
        <v>149</v>
      </c>
      <c r="E30" s="107"/>
      <c r="F30" s="107" t="s">
        <v>149</v>
      </c>
      <c r="G30" s="107"/>
      <c r="H30" s="107" t="s">
        <v>149</v>
      </c>
    </row>
    <row r="31" spans="1:8" ht="17.25" thickTop="1" x14ac:dyDescent="0.3">
      <c r="A31" s="68" t="s">
        <v>171</v>
      </c>
      <c r="B31" s="69"/>
      <c r="C31" s="69"/>
      <c r="D31" s="69"/>
      <c r="E31" s="69"/>
      <c r="F31" s="69"/>
      <c r="G31" s="69"/>
      <c r="H31" s="69"/>
    </row>
    <row r="32" spans="1:8" ht="16.5" x14ac:dyDescent="0.3">
      <c r="A32" s="66" t="s">
        <v>172</v>
      </c>
      <c r="B32" s="70">
        <f>'Stmt Activities'!G40/('Stmt Activities'!G16-'Stmt Activities'!G13-'Stmt Activities'!G11+'Stmt Activities'!G23+'Stmt Activities'!G29)</f>
        <v>0.82375478927203061</v>
      </c>
      <c r="C32" s="70"/>
      <c r="D32" s="70" t="e">
        <f>'Stmt Activities'!I40/('Stmt Activities'!I16-'Stmt Activities'!I13-'Stmt Activities'!I11+'Stmt Activities'!I23+'Stmt Activities'!I29)</f>
        <v>#REF!</v>
      </c>
      <c r="E32" s="70"/>
      <c r="F32" s="70" t="e">
        <f>'Stmt Activities'!#REF!/('Stmt Activities'!#REF!-'Stmt Activities'!#REF!-'Stmt Activities'!#REF!+'Stmt Activities'!#REF!+'Stmt Activities'!#REF!)</f>
        <v>#REF!</v>
      </c>
      <c r="G32" s="70"/>
      <c r="H32" s="70" t="e">
        <f>'Stmt Activities'!#REF!/('Stmt Activities'!#REF!-'Stmt Activities'!#REF!-'Stmt Activities'!#REF!+'Stmt Activities'!#REF!+'Stmt Activities'!#REF!)</f>
        <v>#REF!</v>
      </c>
    </row>
    <row r="33" spans="1:8" ht="16.5" x14ac:dyDescent="0.3">
      <c r="A33" s="57" t="s">
        <v>173</v>
      </c>
      <c r="B33" s="60">
        <f>B21/('Stmt Position'!G57+'Stmt Position'!G59+'Stmt Position'!G63+'Stmt Position'!G46+'Stmt Position'!G47+'Stmt Position'!G48+'Stmt Position'!G38)</f>
        <v>1.3928571428571428</v>
      </c>
      <c r="C33" s="60"/>
      <c r="D33" s="60" t="e">
        <f>D21/('Stmt Position'!#REF!+'Stmt Position'!#REF!+'Stmt Position'!#REF!+'Stmt Position'!#REF!+'Stmt Position'!#REF!+'Stmt Position'!#REF!+'Stmt Position'!#REF!)</f>
        <v>#REF!</v>
      </c>
      <c r="E33" s="60"/>
      <c r="F33" s="60" t="e">
        <f>F21/('Stmt Position'!#REF!+'Stmt Position'!#REF!+'Stmt Position'!#REF!+'Stmt Position'!#REF!+'Stmt Position'!#REF!+'Stmt Position'!#REF!+'Stmt Position'!#REF!)</f>
        <v>#REF!</v>
      </c>
      <c r="G33" s="60"/>
      <c r="H33" s="60" t="e">
        <f>H21/('Stmt Position'!#REF!+'Stmt Position'!#REF!+'Stmt Position'!#REF!+'Stmt Position'!#REF!+'Stmt Position'!#REF!+'Stmt Position'!#REF!+'Stmt Position'!#REF!)</f>
        <v>#REF!</v>
      </c>
    </row>
    <row r="34" spans="1:8" ht="16.5" x14ac:dyDescent="0.3">
      <c r="A34" s="57" t="s">
        <v>174</v>
      </c>
      <c r="B34" s="60" t="e">
        <f>IF(COUNT(B40)=1,'Stmt Activities'!G40/B40,"NA")</f>
        <v>#DIV/0!</v>
      </c>
      <c r="C34" s="113"/>
      <c r="D34" s="60" t="str">
        <f>IF(COUNT(D40)=1,'Stmt Activities'!I40/D40,"NA")</f>
        <v>NA</v>
      </c>
      <c r="E34" s="113"/>
      <c r="F34" s="60" t="str">
        <f>IF(COUNT(F40)=1,'Stmt Activities'!#REF!/F40,"NA")</f>
        <v>NA</v>
      </c>
      <c r="G34" s="67"/>
      <c r="H34" s="60" t="str">
        <f>IF(COUNT(H40)=1,'Stmt Activities'!#REF!/H40,"NA")</f>
        <v>NA</v>
      </c>
    </row>
    <row r="35" spans="1:8" ht="16.5" x14ac:dyDescent="0.3">
      <c r="A35" s="57" t="s">
        <v>175</v>
      </c>
      <c r="B35" s="60" t="e">
        <f>IF(COUNT(B24)=1,'Stmt Activities'!G40/B24,"NA")</f>
        <v>#DIV/0!</v>
      </c>
      <c r="C35" s="113"/>
      <c r="D35" s="60" t="str">
        <f>IF(COUNT(D24)=1,'Stmt Activities'!I40/D24,"NA")</f>
        <v>NA</v>
      </c>
      <c r="E35" s="113"/>
      <c r="F35" s="60" t="str">
        <f>IF(COUNT(F24)=1,'Stmt Activities'!#REF!/F24,"NA")</f>
        <v>NA</v>
      </c>
      <c r="G35" s="113"/>
      <c r="H35" s="60" t="str">
        <f>IF(COUNT(H24)=1,'Stmt Activities'!#REF!/H24,"NA")</f>
        <v>NA</v>
      </c>
    </row>
    <row r="36" spans="1:8" ht="16.5" x14ac:dyDescent="0.3">
      <c r="A36" s="71" t="s">
        <v>176</v>
      </c>
      <c r="B36" s="72">
        <f>'Stmt Activities'!G40/'Stmt Position'!G32</f>
        <v>0.12920673076923078</v>
      </c>
      <c r="C36" s="72"/>
      <c r="D36" s="72" t="e">
        <f>'Stmt Activities'!I40/'Stmt Position'!#REF!</f>
        <v>#REF!</v>
      </c>
      <c r="E36" s="72"/>
      <c r="F36" s="72" t="e">
        <f>'Stmt Activities'!#REF!/'Stmt Position'!#REF!</f>
        <v>#REF!</v>
      </c>
      <c r="G36" s="72"/>
      <c r="H36" s="72" t="e">
        <f>'Stmt Activities'!#REF!/'Stmt Position'!#REF!</f>
        <v>#REF!</v>
      </c>
    </row>
    <row r="37" spans="1:8" ht="16.5" x14ac:dyDescent="0.3">
      <c r="A37" s="57" t="s">
        <v>177</v>
      </c>
      <c r="B37" s="60">
        <f>B21/'Stmt Position'!G32</f>
        <v>0.732421875</v>
      </c>
      <c r="C37" s="60"/>
      <c r="D37" s="60" t="e">
        <f>D21/'Stmt Position'!#REF!</f>
        <v>#REF!</v>
      </c>
      <c r="E37" s="60"/>
      <c r="F37" s="60" t="e">
        <f>F21/'Stmt Position'!#REF!</f>
        <v>#REF!</v>
      </c>
      <c r="G37" s="60"/>
      <c r="H37" s="60" t="e">
        <f>H21/'Stmt Position'!#REF!</f>
        <v>#REF!</v>
      </c>
    </row>
    <row r="38" spans="1:8" ht="16.5" x14ac:dyDescent="0.3">
      <c r="A38" s="57" t="s">
        <v>178</v>
      </c>
      <c r="B38" s="60" t="e">
        <f>IF(COUNT(B21,B43)=2,B21/B43,"NA")</f>
        <v>#DIV/0!</v>
      </c>
      <c r="C38" s="114"/>
      <c r="D38" s="60" t="str">
        <f>IF(COUNT(D21,D43)=2,D21/D43,"NA")</f>
        <v>NA</v>
      </c>
      <c r="E38" s="114"/>
      <c r="F38" s="60" t="str">
        <f>IF(COUNT(F21,F43)=2,F21/F43,"NA")</f>
        <v>NA</v>
      </c>
      <c r="G38" s="114"/>
      <c r="H38" s="60" t="str">
        <f>IF(COUNT(H21,H43)=2,H21/H43,"NA")</f>
        <v>NA</v>
      </c>
    </row>
    <row r="39" spans="1:8" ht="16.5" x14ac:dyDescent="0.3">
      <c r="A39" s="66" t="s">
        <v>179</v>
      </c>
      <c r="B39" s="60" t="str">
        <f>IF(COUNT(B44,INPUT!G151)=2,INPUT!G151/B44,"NA")</f>
        <v>NA</v>
      </c>
      <c r="C39" s="114"/>
      <c r="D39" s="60" t="str">
        <f>IF(COUNT(D44,INPUT!#REF!)=2,INPUT!#REF!/D44,"NA")</f>
        <v>NA</v>
      </c>
      <c r="E39" s="114"/>
      <c r="F39" s="60" t="str">
        <f>IF(COUNT(F44,INPUT!#REF!)=2,INPUT!#REF!/F44,"NA")</f>
        <v>NA</v>
      </c>
      <c r="G39" s="114"/>
      <c r="H39" s="60" t="str">
        <f>IF(COUNT(H44,INPUT!#REF!)=2,INPUT!#REF!/H44,"NA")</f>
        <v>NA</v>
      </c>
    </row>
    <row r="40" spans="1:8" ht="16.5" x14ac:dyDescent="0.3">
      <c r="A40" s="57" t="s">
        <v>180</v>
      </c>
      <c r="B40" s="125">
        <f>INPUT!G139</f>
        <v>0</v>
      </c>
      <c r="C40" s="126"/>
      <c r="D40" s="125" t="e">
        <f>INPUT!#REF!</f>
        <v>#REF!</v>
      </c>
      <c r="E40" s="126"/>
      <c r="F40" s="125" t="e">
        <f>INPUT!#REF!</f>
        <v>#REF!</v>
      </c>
      <c r="G40" s="126"/>
      <c r="H40" s="125" t="e">
        <f>INPUT!#REF!</f>
        <v>#REF!</v>
      </c>
    </row>
    <row r="41" spans="1:8" ht="16.5" x14ac:dyDescent="0.3">
      <c r="A41" s="57" t="s">
        <v>164</v>
      </c>
      <c r="B41" s="123">
        <f>B24</f>
        <v>0</v>
      </c>
      <c r="C41" s="127"/>
      <c r="D41" s="123" t="e">
        <f>D24</f>
        <v>#REF!</v>
      </c>
      <c r="E41" s="127"/>
      <c r="F41" s="123" t="e">
        <f>F24</f>
        <v>#REF!</v>
      </c>
      <c r="G41" s="127"/>
      <c r="H41" s="123" t="e">
        <f>H24</f>
        <v>#REF!</v>
      </c>
    </row>
    <row r="42" spans="1:8" ht="16.5" x14ac:dyDescent="0.3">
      <c r="A42" s="57" t="s">
        <v>181</v>
      </c>
      <c r="B42" s="128">
        <f>'Stmt Position'!G57+'Stmt Position'!G59+'Stmt Position'!G63+'Stmt Position'!G46+'Stmt Position'!G47+'Stmt Position'!G48+'Stmt Position'!G38</f>
        <v>3500000</v>
      </c>
      <c r="C42" s="128"/>
      <c r="D42" s="128" t="e">
        <f>'Stmt Position'!#REF!+'Stmt Position'!#REF!+'Stmt Position'!#REF!+'Stmt Position'!#REF!+'Stmt Position'!#REF!+'Stmt Position'!#REF!+'Stmt Position'!#REF!</f>
        <v>#REF!</v>
      </c>
      <c r="E42" s="128"/>
      <c r="F42" s="128" t="e">
        <f>'Stmt Position'!#REF!+'Stmt Position'!#REF!+'Stmt Position'!#REF!+'Stmt Position'!#REF!+'Stmt Position'!#REF!+'Stmt Position'!#REF!+'Stmt Position'!#REF!</f>
        <v>#REF!</v>
      </c>
      <c r="G42" s="128"/>
      <c r="H42" s="128" t="e">
        <f>'Stmt Position'!#REF!+'Stmt Position'!#REF!+'Stmt Position'!#REF!+'Stmt Position'!#REF!+'Stmt Position'!#REF!+'Stmt Position'!#REF!+'Stmt Position'!#REF!</f>
        <v>#REF!</v>
      </c>
    </row>
    <row r="43" spans="1:8" ht="16.5" x14ac:dyDescent="0.3">
      <c r="A43" s="66" t="s">
        <v>215</v>
      </c>
      <c r="B43" s="129">
        <f>INPUT!G150</f>
        <v>0</v>
      </c>
      <c r="C43" s="127"/>
      <c r="D43" s="129" t="e">
        <f>INPUT!#REF!</f>
        <v>#REF!</v>
      </c>
      <c r="E43" s="127"/>
      <c r="F43" s="129" t="e">
        <f>INPUT!#REF!</f>
        <v>#REF!</v>
      </c>
      <c r="G43" s="127"/>
      <c r="H43" s="129" t="e">
        <f>INPUT!#REF!</f>
        <v>#REF!</v>
      </c>
    </row>
    <row r="44" spans="1:8" ht="17.25" thickBot="1" x14ac:dyDescent="0.35">
      <c r="A44" s="73" t="s">
        <v>214</v>
      </c>
      <c r="B44" s="133">
        <f>INPUT!G149</f>
        <v>0</v>
      </c>
      <c r="C44" s="133"/>
      <c r="D44" s="133" t="e">
        <f>INPUT!#REF!</f>
        <v>#REF!</v>
      </c>
      <c r="E44" s="133"/>
      <c r="F44" s="133" t="e">
        <f>INPUT!#REF!</f>
        <v>#REF!</v>
      </c>
      <c r="G44" s="133"/>
      <c r="H44" s="133" t="e">
        <f>INPUT!#REF!</f>
        <v>#REF!</v>
      </c>
    </row>
    <row r="45" spans="1:8" ht="17.25" thickTop="1" x14ac:dyDescent="0.3">
      <c r="A45" s="131" t="s">
        <v>182</v>
      </c>
      <c r="B45" s="132" t="str">
        <f>B5</f>
        <v>Audited</v>
      </c>
      <c r="C45" s="132"/>
      <c r="D45" s="132" t="str">
        <f>D5</f>
        <v>Audited</v>
      </c>
      <c r="E45" s="132"/>
      <c r="F45" s="132" t="str">
        <f>F5</f>
        <v>Audited</v>
      </c>
      <c r="G45" s="132"/>
      <c r="H45" s="132" t="str">
        <f>H5</f>
        <v>Unauudited</v>
      </c>
    </row>
    <row r="46" spans="1:8" ht="17.25" thickBot="1" x14ac:dyDescent="0.35">
      <c r="A46" s="74" t="s">
        <v>183</v>
      </c>
      <c r="B46" s="75">
        <f>B6</f>
        <v>41639</v>
      </c>
      <c r="C46" s="75"/>
      <c r="D46" s="75" t="e">
        <f>D6</f>
        <v>#REF!</v>
      </c>
      <c r="E46" s="75"/>
      <c r="F46" s="75" t="e">
        <f>F6</f>
        <v>#REF!</v>
      </c>
      <c r="G46" s="75"/>
      <c r="H46" s="75" t="e">
        <f>H6</f>
        <v>#REF!</v>
      </c>
    </row>
    <row r="47" spans="1:8" ht="17.25" thickTop="1" x14ac:dyDescent="0.3">
      <c r="A47" s="68" t="s">
        <v>131</v>
      </c>
      <c r="B47" s="69"/>
      <c r="C47" s="69"/>
      <c r="D47" s="69"/>
      <c r="E47" s="69"/>
      <c r="F47" s="69"/>
      <c r="G47" s="76"/>
      <c r="H47" s="69"/>
    </row>
    <row r="48" spans="1:8" ht="16.5" x14ac:dyDescent="0.3">
      <c r="A48" s="77" t="s">
        <v>208</v>
      </c>
      <c r="B48" s="58">
        <f>'Ratios '!E60/('Ratios '!E62-'Stmt Activities'!G37+'Stmt Activities'!G13)</f>
        <v>0.75027027027027027</v>
      </c>
      <c r="C48" s="58"/>
      <c r="D48" s="58" t="e">
        <f>'Ratios '!G60/('Ratios '!G62-'Stmt Activities'!I37+'Stmt Activities'!I13)</f>
        <v>#REF!</v>
      </c>
      <c r="E48" s="58"/>
      <c r="F48" s="58" t="e">
        <f>'Ratios '!#REF!/('Ratios '!#REF!-'Stmt Activities'!#REF!+'Stmt Activities'!#REF!)</f>
        <v>#REF!</v>
      </c>
      <c r="G48" s="58"/>
      <c r="H48" s="58" t="e">
        <f>'Ratios '!#REF!/('Ratios '!#REF!-'Stmt Activities'!#REF!+'Stmt Activities'!#REF!)</f>
        <v>#REF!</v>
      </c>
    </row>
    <row r="49" spans="1:8" ht="16.5" x14ac:dyDescent="0.3">
      <c r="A49" s="77" t="s">
        <v>213</v>
      </c>
      <c r="B49" s="59">
        <f>'Ratios '!E65</f>
        <v>0.61145374449339207</v>
      </c>
      <c r="C49" s="59"/>
      <c r="D49" s="59" t="e">
        <f>('Stmt Activities'!I12+'Stmt Activities'!I9+'Stmt Activities'!I15+'Stmt Activities'!I23)/('Stmt Activities'!I40-'Stmt Activities'!I39-'Stmt Activities'!I37-'Stmt Activities'!I13)</f>
        <v>#REF!</v>
      </c>
      <c r="E49" s="59"/>
      <c r="F49" s="59" t="e">
        <f>('Stmt Activities'!#REF!+'Stmt Activities'!#REF!+'Stmt Activities'!#REF!+'Stmt Activities'!#REF!)/('Stmt Activities'!#REF!-'Stmt Activities'!#REF!-'Stmt Activities'!#REF!-'Stmt Activities'!#REF!)</f>
        <v>#REF!</v>
      </c>
      <c r="G49" s="59"/>
      <c r="H49" s="59" t="e">
        <f>('Stmt Activities'!#REF!+'Stmt Activities'!#REF!+'Stmt Activities'!#REF!+'Stmt Activities'!#REF!)/('Stmt Activities'!#REF!-'Stmt Activities'!#REF!-'Stmt Activities'!#REF!-'Stmt Activities'!#REF!)</f>
        <v>#REF!</v>
      </c>
    </row>
    <row r="50" spans="1:8" ht="16.5" x14ac:dyDescent="0.3">
      <c r="A50" s="77" t="s">
        <v>317</v>
      </c>
      <c r="B50" s="60" t="s">
        <v>149</v>
      </c>
      <c r="C50" s="60"/>
      <c r="D50" s="255" t="e">
        <f>'Ratios '!G66</f>
        <v>#REF!</v>
      </c>
      <c r="E50" s="255"/>
      <c r="F50" s="255" t="e">
        <f>'Ratios '!#REF!</f>
        <v>#REF!</v>
      </c>
      <c r="G50" s="255"/>
      <c r="H50" s="255" t="e">
        <f>'Ratios '!#REF!</f>
        <v>#REF!</v>
      </c>
    </row>
    <row r="51" spans="1:8" ht="16.5" x14ac:dyDescent="0.3">
      <c r="A51" s="66" t="s">
        <v>319</v>
      </c>
      <c r="B51" s="60" t="s">
        <v>149</v>
      </c>
      <c r="C51" s="60"/>
      <c r="D51" s="255" t="e">
        <f>'Ratios '!G67</f>
        <v>#REF!</v>
      </c>
      <c r="E51" s="255"/>
      <c r="F51" s="255" t="e">
        <f>'Ratios '!#REF!</f>
        <v>#REF!</v>
      </c>
      <c r="G51" s="255"/>
      <c r="H51" s="255" t="e">
        <f>'Ratios '!#REF!</f>
        <v>#REF!</v>
      </c>
    </row>
    <row r="52" spans="1:8" ht="16.5" x14ac:dyDescent="0.3">
      <c r="A52" s="66" t="s">
        <v>318</v>
      </c>
      <c r="B52" s="60" t="s">
        <v>149</v>
      </c>
      <c r="C52" s="59"/>
      <c r="D52" s="255" t="e">
        <f>'Ratios '!G68</f>
        <v>#REF!</v>
      </c>
      <c r="E52" s="256"/>
      <c r="F52" s="255" t="e">
        <f>'Ratios '!#REF!</f>
        <v>#REF!</v>
      </c>
      <c r="G52" s="256"/>
      <c r="H52" s="255" t="e">
        <f>'Ratios '!#REF!</f>
        <v>#REF!</v>
      </c>
    </row>
    <row r="53" spans="1:8" ht="17.25" thickBot="1" x14ac:dyDescent="0.35">
      <c r="A53" s="78" t="s">
        <v>184</v>
      </c>
      <c r="B53" s="79">
        <f>'Stmt Position'!G7+'Stmt Position'!G13+'Stmt Position'!G17+'Stmt Position'!G21+'Stmt Position'!G22</f>
        <v>5528000</v>
      </c>
      <c r="C53" s="79"/>
      <c r="D53" s="79" t="e">
        <f>'Stmt Position'!#REF!+'Stmt Position'!#REF!+'Stmt Position'!#REF!+'Stmt Position'!#REF!+'Stmt Position'!#REF!</f>
        <v>#REF!</v>
      </c>
      <c r="E53" s="79"/>
      <c r="F53" s="79" t="e">
        <f>'Stmt Position'!#REF!+'Stmt Position'!#REF!+'Stmt Position'!#REF!+'Stmt Position'!#REF!+'Stmt Position'!#REF!</f>
        <v>#REF!</v>
      </c>
      <c r="G53" s="79"/>
      <c r="H53" s="79" t="e">
        <f>'Stmt Position'!#REF!+'Stmt Position'!#REF!+'Stmt Position'!#REF!+'Stmt Position'!#REF!+'Stmt Position'!#REF!</f>
        <v>#REF!</v>
      </c>
    </row>
    <row r="54" spans="1:8" ht="17.25" thickTop="1" x14ac:dyDescent="0.3">
      <c r="A54" s="55" t="s">
        <v>77</v>
      </c>
      <c r="B54" s="56"/>
      <c r="C54" s="56"/>
      <c r="D54" s="56"/>
      <c r="E54" s="56"/>
      <c r="F54" s="56"/>
      <c r="G54" s="56"/>
      <c r="H54" s="56"/>
    </row>
    <row r="55" spans="1:8" ht="16.5" x14ac:dyDescent="0.3">
      <c r="A55" s="57" t="s">
        <v>185</v>
      </c>
      <c r="B55" s="58">
        <f>'Stmt Position'!G18/'Stmt Position'!G32</f>
        <v>0.51006610576923073</v>
      </c>
      <c r="C55" s="58"/>
      <c r="D55" s="58" t="e">
        <f>'Stmt Position'!#REF!/'Stmt Position'!#REF!</f>
        <v>#REF!</v>
      </c>
      <c r="E55" s="58"/>
      <c r="F55" s="58" t="e">
        <f>'Stmt Position'!#REF!/'Stmt Position'!#REF!</f>
        <v>#REF!</v>
      </c>
      <c r="G55" s="58"/>
      <c r="H55" s="58" t="e">
        <f>'Stmt Position'!#REF!/'Stmt Position'!#REF!</f>
        <v>#REF!</v>
      </c>
    </row>
    <row r="56" spans="1:8" ht="16.5" x14ac:dyDescent="0.3">
      <c r="A56" s="57" t="s">
        <v>186</v>
      </c>
      <c r="B56" s="80">
        <f>'Stmt Position'!G18/'Stmt Position'!G43</f>
        <v>2.0701219512195124</v>
      </c>
      <c r="C56" s="80"/>
      <c r="D56" s="80" t="e">
        <f>'Stmt Position'!#REF!/'Stmt Position'!#REF!</f>
        <v>#REF!</v>
      </c>
      <c r="E56" s="80"/>
      <c r="F56" s="80" t="e">
        <f>'Stmt Position'!#REF!/'Stmt Position'!#REF!</f>
        <v>#REF!</v>
      </c>
      <c r="G56" s="80"/>
      <c r="H56" s="80" t="e">
        <f>'Stmt Position'!#REF!/'Stmt Position'!#REF!</f>
        <v>#REF!</v>
      </c>
    </row>
    <row r="57" spans="1:8" ht="16.5" x14ac:dyDescent="0.3">
      <c r="A57" s="81" t="s">
        <v>187</v>
      </c>
      <c r="B57" s="60">
        <f>('Stmt Activities'!G8+'Stmt Activities'!G9+'Stmt Activities'!G15+'Stmt Activities'!G23+'Stmt Activities'!G29)/(-'Stmt Activities'!G11)</f>
        <v>13.92</v>
      </c>
      <c r="C57" s="115"/>
      <c r="D57" s="60" t="e">
        <f>('Stmt Activities'!I8+'Stmt Activities'!I9+'Stmt Activities'!I15+'Stmt Activities'!I23+'Stmt Activities'!I29)/(-'Stmt Activities'!I11)</f>
        <v>#REF!</v>
      </c>
      <c r="E57" s="115"/>
      <c r="F57" s="60" t="e">
        <f>('Stmt Activities'!#REF!+'Stmt Activities'!#REF!+'Stmt Activities'!#REF!+'Stmt Activities'!#REF!+'Stmt Activities'!#REF!)/(-'Stmt Activities'!#REF!)</f>
        <v>#REF!</v>
      </c>
      <c r="G57" s="115"/>
      <c r="H57" s="60" t="e">
        <f>('Stmt Activities'!#REF!+'Stmt Activities'!#REF!+'Stmt Activities'!#REF!+'Stmt Activities'!#REF!+'Stmt Activities'!#REF!)/(-'Stmt Activities'!#REF!)</f>
        <v>#REF!</v>
      </c>
    </row>
    <row r="58" spans="1:8" ht="17.25" thickBot="1" x14ac:dyDescent="0.35">
      <c r="A58" s="82"/>
      <c r="B58" s="83"/>
      <c r="C58" s="83"/>
      <c r="D58" s="83"/>
      <c r="E58" s="83"/>
      <c r="F58" s="83"/>
      <c r="G58" s="83"/>
      <c r="H58" s="82"/>
    </row>
    <row r="59" spans="1:8" ht="16.5" x14ac:dyDescent="0.3">
      <c r="A59" s="51"/>
      <c r="B59" s="52" t="s">
        <v>152</v>
      </c>
      <c r="C59" s="52"/>
      <c r="D59" s="52" t="s">
        <v>152</v>
      </c>
      <c r="E59" s="52"/>
      <c r="F59" s="52" t="s">
        <v>152</v>
      </c>
      <c r="G59" s="52"/>
      <c r="H59" s="52" t="s">
        <v>139</v>
      </c>
    </row>
    <row r="60" spans="1:8" ht="17.25" thickBot="1" x14ac:dyDescent="0.35">
      <c r="A60" s="84" t="s">
        <v>188</v>
      </c>
      <c r="B60" s="85">
        <v>37072</v>
      </c>
      <c r="C60" s="85"/>
      <c r="D60" s="85">
        <v>37437</v>
      </c>
      <c r="E60" s="86"/>
      <c r="F60" s="87">
        <v>37802</v>
      </c>
      <c r="G60" s="87"/>
      <c r="H60" s="87">
        <v>38168</v>
      </c>
    </row>
    <row r="61" spans="1:8" ht="16.5" x14ac:dyDescent="0.3">
      <c r="A61" s="66" t="s">
        <v>189</v>
      </c>
      <c r="B61" s="88">
        <f>B33</f>
        <v>1.3928571428571428</v>
      </c>
      <c r="C61" s="88"/>
      <c r="D61" s="88" t="e">
        <f>D33</f>
        <v>#REF!</v>
      </c>
      <c r="E61" s="88"/>
      <c r="F61" s="88" t="e">
        <f>F33</f>
        <v>#REF!</v>
      </c>
      <c r="G61" s="88"/>
      <c r="H61" s="134" t="e">
        <f>H33</f>
        <v>#REF!</v>
      </c>
    </row>
    <row r="62" spans="1:8" ht="16.5" x14ac:dyDescent="0.3">
      <c r="A62" s="66" t="s">
        <v>190</v>
      </c>
      <c r="B62" s="89" t="e">
        <f>B34</f>
        <v>#DIV/0!</v>
      </c>
      <c r="C62" s="89"/>
      <c r="D62" s="89" t="str">
        <f>D34</f>
        <v>NA</v>
      </c>
      <c r="E62" s="89"/>
      <c r="F62" s="89" t="str">
        <f>F34</f>
        <v>NA</v>
      </c>
      <c r="G62" s="89"/>
      <c r="H62" s="135" t="str">
        <f>H34</f>
        <v>NA</v>
      </c>
    </row>
    <row r="63" spans="1:8" ht="16.5" x14ac:dyDescent="0.3">
      <c r="A63" s="66" t="s">
        <v>191</v>
      </c>
      <c r="B63" s="89" t="e">
        <f>B35</f>
        <v>#DIV/0!</v>
      </c>
      <c r="C63" s="89"/>
      <c r="D63" s="89" t="str">
        <f>D35</f>
        <v>NA</v>
      </c>
      <c r="E63" s="89"/>
      <c r="F63" s="89" t="str">
        <f>F35</f>
        <v>NA</v>
      </c>
      <c r="G63" s="89"/>
      <c r="H63" s="135" t="str">
        <f>H35</f>
        <v>NA</v>
      </c>
    </row>
    <row r="64" spans="1:8" ht="16.5" x14ac:dyDescent="0.3">
      <c r="A64" s="90" t="s">
        <v>176</v>
      </c>
      <c r="B64" s="91">
        <f>B36</f>
        <v>0.12920673076923078</v>
      </c>
      <c r="C64" s="91"/>
      <c r="D64" s="91" t="e">
        <f>D36</f>
        <v>#REF!</v>
      </c>
      <c r="E64" s="91"/>
      <c r="F64" s="91" t="e">
        <f>F36</f>
        <v>#REF!</v>
      </c>
      <c r="G64" s="91"/>
      <c r="H64" s="136" t="e">
        <f>H36</f>
        <v>#REF!</v>
      </c>
    </row>
    <row r="65" spans="1:8" ht="16.5" x14ac:dyDescent="0.3">
      <c r="A65" s="92" t="s">
        <v>212</v>
      </c>
      <c r="B65" s="89" t="e">
        <f>B38</f>
        <v>#DIV/0!</v>
      </c>
      <c r="C65" s="89"/>
      <c r="D65" s="89" t="str">
        <f>D38</f>
        <v>NA</v>
      </c>
      <c r="E65" s="89"/>
      <c r="F65" s="89" t="str">
        <f>F38</f>
        <v>NA</v>
      </c>
      <c r="G65" s="89"/>
      <c r="H65" s="135" t="str">
        <f>H38</f>
        <v>NA</v>
      </c>
    </row>
    <row r="66" spans="1:8" ht="16.5" x14ac:dyDescent="0.3">
      <c r="A66" s="66" t="s">
        <v>192</v>
      </c>
      <c r="B66" s="89">
        <f>B40</f>
        <v>0</v>
      </c>
      <c r="C66" s="89"/>
      <c r="D66" s="89" t="e">
        <f>D40</f>
        <v>#REF!</v>
      </c>
      <c r="E66" s="89"/>
      <c r="F66" s="89" t="e">
        <f>F40</f>
        <v>#REF!</v>
      </c>
      <c r="G66" s="89"/>
      <c r="H66" s="135" t="e">
        <f>H40</f>
        <v>#REF!</v>
      </c>
    </row>
    <row r="67" spans="1:8" ht="16.5" x14ac:dyDescent="0.3">
      <c r="A67" s="66" t="s">
        <v>193</v>
      </c>
      <c r="B67" s="89">
        <f>B24</f>
        <v>0</v>
      </c>
      <c r="C67" s="89"/>
      <c r="D67" s="89" t="e">
        <f>D24</f>
        <v>#REF!</v>
      </c>
      <c r="E67" s="89"/>
      <c r="F67" s="89" t="e">
        <f>F24</f>
        <v>#REF!</v>
      </c>
      <c r="G67" s="89"/>
      <c r="H67" s="135" t="e">
        <f>H24</f>
        <v>#REF!</v>
      </c>
    </row>
    <row r="68" spans="1:8" ht="16.5" x14ac:dyDescent="0.3">
      <c r="A68" s="66" t="s">
        <v>194</v>
      </c>
      <c r="B68" s="93">
        <f>B21</f>
        <v>4875000</v>
      </c>
      <c r="C68" s="93"/>
      <c r="D68" s="93" t="e">
        <f>D21</f>
        <v>#REF!</v>
      </c>
      <c r="E68" s="93"/>
      <c r="F68" s="93" t="e">
        <f>F21</f>
        <v>#REF!</v>
      </c>
      <c r="G68" s="93"/>
      <c r="H68" s="93" t="e">
        <f>H21</f>
        <v>#REF!</v>
      </c>
    </row>
    <row r="69" spans="1:8" ht="16.5" x14ac:dyDescent="0.3">
      <c r="A69" s="66" t="s">
        <v>211</v>
      </c>
      <c r="B69" s="116">
        <f>B43</f>
        <v>0</v>
      </c>
      <c r="C69" s="117"/>
      <c r="D69" s="116" t="e">
        <f>D43</f>
        <v>#REF!</v>
      </c>
      <c r="E69" s="117"/>
      <c r="F69" s="116" t="e">
        <f>F43</f>
        <v>#REF!</v>
      </c>
      <c r="G69" s="117"/>
      <c r="H69" s="116" t="e">
        <f>H43</f>
        <v>#REF!</v>
      </c>
    </row>
    <row r="70" spans="1:8" ht="16.5" x14ac:dyDescent="0.3">
      <c r="A70" s="57" t="s">
        <v>195</v>
      </c>
      <c r="B70" s="94">
        <f>B9</f>
        <v>0.36673677884615385</v>
      </c>
      <c r="C70" s="94"/>
      <c r="D70" s="94" t="e">
        <f>D9</f>
        <v>#REF!</v>
      </c>
      <c r="E70" s="94"/>
      <c r="F70" s="94" t="e">
        <f>F9</f>
        <v>#REF!</v>
      </c>
      <c r="G70" s="94"/>
      <c r="H70" s="94" t="e">
        <f>H9</f>
        <v>#REF!</v>
      </c>
    </row>
    <row r="71" spans="1:8" ht="16.5" x14ac:dyDescent="0.3">
      <c r="A71" s="95" t="s">
        <v>114</v>
      </c>
      <c r="B71" s="96">
        <f>'Stmt Position'!G32</f>
        <v>6656000</v>
      </c>
      <c r="C71" s="96"/>
      <c r="D71" s="96" t="e">
        <f>'Stmt Position'!#REF!</f>
        <v>#REF!</v>
      </c>
      <c r="E71" s="96"/>
      <c r="F71" s="96" t="e">
        <f>'Stmt Position'!#REF!</f>
        <v>#REF!</v>
      </c>
      <c r="G71" s="96"/>
      <c r="H71" s="96" t="e">
        <f>'Stmt Position'!#REF!</f>
        <v>#REF!</v>
      </c>
    </row>
    <row r="72" spans="1:8" ht="16.5" x14ac:dyDescent="0.3">
      <c r="A72" s="95"/>
      <c r="B72" s="97"/>
      <c r="C72" s="97"/>
      <c r="D72" s="97"/>
      <c r="E72" s="97"/>
      <c r="F72" s="97"/>
      <c r="G72" s="95"/>
      <c r="H72" s="98"/>
    </row>
    <row r="73" spans="1:8" ht="16.5" x14ac:dyDescent="0.3">
      <c r="A73" s="95" t="s">
        <v>196</v>
      </c>
      <c r="B73" s="118">
        <f>B15</f>
        <v>0</v>
      </c>
      <c r="C73" s="119"/>
      <c r="D73" s="118">
        <f>D15</f>
        <v>2.0512820512820513E-2</v>
      </c>
      <c r="E73" s="119"/>
      <c r="F73" s="118" t="e">
        <f>F15</f>
        <v>#REF!</v>
      </c>
      <c r="G73" s="120"/>
      <c r="H73" s="118" t="e">
        <f>H15</f>
        <v>#REF!</v>
      </c>
    </row>
    <row r="74" spans="1:8" ht="16.5" x14ac:dyDescent="0.3">
      <c r="A74" s="99" t="s">
        <v>197</v>
      </c>
      <c r="B74" s="118">
        <f>B16</f>
        <v>1.8518518518518517E-2</v>
      </c>
      <c r="C74" s="120"/>
      <c r="D74" s="118">
        <f>D16</f>
        <v>1.0256410256410256E-3</v>
      </c>
      <c r="E74" s="120"/>
      <c r="F74" s="118" t="e">
        <f>F16</f>
        <v>#REF!</v>
      </c>
      <c r="G74" s="120"/>
      <c r="H74" s="118" t="e">
        <f>H16</f>
        <v>#REF!</v>
      </c>
    </row>
    <row r="75" spans="1:8" ht="16.5" x14ac:dyDescent="0.3">
      <c r="A75" s="95" t="s">
        <v>198</v>
      </c>
      <c r="B75" s="120">
        <f>B28</f>
        <v>120000</v>
      </c>
      <c r="C75" s="120"/>
      <c r="D75" s="120" t="e">
        <f>D28</f>
        <v>#REF!</v>
      </c>
      <c r="E75" s="120"/>
      <c r="F75" s="120" t="e">
        <f>F28</f>
        <v>#REF!</v>
      </c>
      <c r="G75" s="121"/>
      <c r="H75" s="120" t="e">
        <f>H28</f>
        <v>#REF!</v>
      </c>
    </row>
    <row r="76" spans="1:8" ht="16.5" x14ac:dyDescent="0.3">
      <c r="A76" s="95" t="s">
        <v>199</v>
      </c>
      <c r="B76" s="100">
        <f>-'Stmt Position'!G23/'B of A Ratios'!B21</f>
        <v>0</v>
      </c>
      <c r="C76" s="100"/>
      <c r="D76" s="100" t="e">
        <f>-'Stmt Position'!#REF!/'B of A Ratios'!D21</f>
        <v>#REF!</v>
      </c>
      <c r="E76" s="100"/>
      <c r="F76" s="100" t="e">
        <f>-'Stmt Position'!#REF!/'B of A Ratios'!F21</f>
        <v>#REF!</v>
      </c>
      <c r="G76" s="100"/>
      <c r="H76" s="100" t="e">
        <f>-'Stmt Position'!#REF!/'B of A Ratios'!H21</f>
        <v>#REF!</v>
      </c>
    </row>
    <row r="77" spans="1:8" ht="16.5" x14ac:dyDescent="0.3">
      <c r="A77" s="95" t="s">
        <v>200</v>
      </c>
      <c r="B77" s="108" t="s">
        <v>149</v>
      </c>
      <c r="C77" s="108"/>
      <c r="D77" s="108" t="s">
        <v>149</v>
      </c>
      <c r="E77" s="108"/>
      <c r="F77" s="108" t="s">
        <v>149</v>
      </c>
      <c r="G77" s="109"/>
      <c r="H77" s="137" t="s">
        <v>149</v>
      </c>
    </row>
    <row r="78" spans="1:8" ht="16.5" x14ac:dyDescent="0.3">
      <c r="A78" s="95"/>
      <c r="B78" s="97"/>
      <c r="C78" s="97"/>
      <c r="D78" s="97"/>
      <c r="E78" s="97"/>
      <c r="F78" s="97"/>
      <c r="G78" s="95"/>
      <c r="H78" s="97"/>
    </row>
    <row r="79" spans="1:8" ht="16.5" x14ac:dyDescent="0.3">
      <c r="A79" s="95" t="s">
        <v>109</v>
      </c>
      <c r="B79" s="100">
        <f>B48</f>
        <v>0.75027027027027027</v>
      </c>
      <c r="C79" s="100"/>
      <c r="D79" s="100" t="e">
        <f>D48</f>
        <v>#REF!</v>
      </c>
      <c r="E79" s="100"/>
      <c r="F79" s="100" t="e">
        <f>F48</f>
        <v>#REF!</v>
      </c>
      <c r="G79" s="100"/>
      <c r="H79" s="100" t="e">
        <f>H48</f>
        <v>#REF!</v>
      </c>
    </row>
    <row r="80" spans="1:8" ht="16.5" x14ac:dyDescent="0.3">
      <c r="A80" s="95" t="s">
        <v>209</v>
      </c>
      <c r="B80" s="100">
        <f>B49</f>
        <v>0.61145374449339207</v>
      </c>
      <c r="C80" s="100"/>
      <c r="D80" s="100" t="e">
        <f>D49</f>
        <v>#REF!</v>
      </c>
      <c r="E80" s="100"/>
      <c r="F80" s="100" t="e">
        <f>F49</f>
        <v>#REF!</v>
      </c>
      <c r="G80" s="100"/>
      <c r="H80" s="100" t="e">
        <f>H49</f>
        <v>#REF!</v>
      </c>
    </row>
    <row r="81" spans="1:8" ht="16.5" x14ac:dyDescent="0.3">
      <c r="A81" s="95" t="s">
        <v>201</v>
      </c>
      <c r="B81" s="100" t="e">
        <f>#REF!</f>
        <v>#REF!</v>
      </c>
      <c r="C81" s="100"/>
      <c r="D81" s="100" t="e">
        <f>#REF!</f>
        <v>#REF!</v>
      </c>
      <c r="E81" s="100"/>
      <c r="F81" s="100" t="e">
        <f>#REF!</f>
        <v>#REF!</v>
      </c>
      <c r="G81" s="100"/>
      <c r="H81" s="100" t="e">
        <f>#REF!</f>
        <v>#REF!</v>
      </c>
    </row>
    <row r="82" spans="1:8" ht="16.5" x14ac:dyDescent="0.3">
      <c r="A82" s="101" t="s">
        <v>202</v>
      </c>
      <c r="B82" s="122" t="str">
        <f>B51</f>
        <v>DK</v>
      </c>
      <c r="C82" s="122"/>
      <c r="D82" s="122" t="e">
        <f>D51</f>
        <v>#REF!</v>
      </c>
      <c r="E82" s="122"/>
      <c r="F82" s="122" t="e">
        <f>F51</f>
        <v>#REF!</v>
      </c>
      <c r="G82" s="122"/>
      <c r="H82" s="122" t="e">
        <f>H51</f>
        <v>#REF!</v>
      </c>
    </row>
    <row r="83" spans="1:8" ht="16.5" x14ac:dyDescent="0.3">
      <c r="A83" s="102" t="s">
        <v>203</v>
      </c>
      <c r="B83" s="103"/>
      <c r="C83" s="103"/>
      <c r="D83" s="103"/>
      <c r="E83" s="103"/>
      <c r="F83" s="103"/>
      <c r="G83" s="103"/>
      <c r="H83" s="103"/>
    </row>
    <row r="84" spans="1:8" ht="16.5" x14ac:dyDescent="0.3">
      <c r="A84" s="104" t="s">
        <v>210</v>
      </c>
      <c r="B84" s="105"/>
      <c r="C84" s="105"/>
      <c r="D84" s="105"/>
      <c r="E84" s="105"/>
      <c r="F84" s="105"/>
      <c r="G84" s="103"/>
      <c r="H84" s="103"/>
    </row>
  </sheetData>
  <phoneticPr fontId="3" type="noConversion"/>
  <pageMargins left="0.5" right="0.5" top="1" bottom="1" header="0.5" footer="0.5"/>
  <pageSetup scale="90" orientation="portrait" r:id="rId1"/>
  <headerFooter alignWithMargins="0"/>
  <rowBreaks count="1" manualBreakCount="1">
    <brk id="44" max="16383" man="1"/>
  </rowBreaks>
  <ignoredErrors>
    <ignoredError sqref="H2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7"/>
  <sheetViews>
    <sheetView zoomScaleNormal="100" workbookViewId="0">
      <selection activeCell="K1" sqref="K1:K65536"/>
    </sheetView>
  </sheetViews>
  <sheetFormatPr defaultRowHeight="12.75" x14ac:dyDescent="0.2"/>
  <cols>
    <col min="1" max="1" width="73" customWidth="1"/>
    <col min="3" max="3" width="16.83203125" customWidth="1"/>
    <col min="4" max="4" width="2.83203125" customWidth="1"/>
    <col min="5" max="5" width="16.83203125" customWidth="1"/>
    <col min="6" max="6" width="2.83203125" hidden="1" customWidth="1"/>
    <col min="7" max="7" width="16.83203125" hidden="1" customWidth="1"/>
    <col min="8" max="8" width="2.83203125" customWidth="1"/>
    <col min="9" max="9" width="16.83203125" customWidth="1"/>
    <col min="10" max="10" width="2.83203125" customWidth="1"/>
  </cols>
  <sheetData>
    <row r="1" spans="1:10" x14ac:dyDescent="0.2">
      <c r="A1" s="139"/>
      <c r="B1" s="139"/>
      <c r="C1" s="139"/>
      <c r="D1" s="139"/>
      <c r="E1" s="139"/>
      <c r="F1" s="139"/>
      <c r="G1" s="139"/>
      <c r="H1" s="139"/>
      <c r="I1" s="139"/>
      <c r="J1" s="139"/>
    </row>
    <row r="2" spans="1:10" x14ac:dyDescent="0.2">
      <c r="A2" s="139"/>
      <c r="B2" s="139"/>
      <c r="C2" s="139"/>
      <c r="D2" s="139"/>
      <c r="E2" s="139"/>
      <c r="F2" s="139"/>
      <c r="G2" s="139"/>
      <c r="H2" s="139"/>
      <c r="I2" s="139"/>
      <c r="J2" s="139"/>
    </row>
    <row r="3" spans="1:10" x14ac:dyDescent="0.2">
      <c r="A3" s="142" t="s">
        <v>227</v>
      </c>
      <c r="B3" s="146"/>
      <c r="C3" s="147" t="str">
        <f>'Ratios '!E3</f>
        <v>AUDIT</v>
      </c>
      <c r="D3" s="146"/>
      <c r="E3" s="147" t="e">
        <f>'Ratios '!G3</f>
        <v>#REF!</v>
      </c>
      <c r="F3" s="146"/>
      <c r="G3" s="147" t="e">
        <f>'Ratios '!I3</f>
        <v>#REF!</v>
      </c>
      <c r="H3" s="146"/>
      <c r="I3" s="147" t="s">
        <v>301</v>
      </c>
      <c r="J3" s="146"/>
    </row>
    <row r="4" spans="1:10" x14ac:dyDescent="0.2">
      <c r="A4" s="148"/>
      <c r="B4" s="152"/>
      <c r="C4" s="178">
        <f>'Ratios '!E4</f>
        <v>41639</v>
      </c>
      <c r="D4" s="179"/>
      <c r="E4" s="178" t="e">
        <f>'Ratios '!G4</f>
        <v>#REF!</v>
      </c>
      <c r="F4" s="179"/>
      <c r="G4" s="178" t="e">
        <f>'Ratios '!I4</f>
        <v>#REF!</v>
      </c>
      <c r="H4" s="179"/>
      <c r="I4" s="178">
        <v>38533</v>
      </c>
      <c r="J4" s="179"/>
    </row>
    <row r="5" spans="1:10" x14ac:dyDescent="0.2">
      <c r="A5" s="153"/>
      <c r="B5" s="156"/>
      <c r="C5" s="157"/>
      <c r="D5" s="156"/>
      <c r="E5" s="157"/>
      <c r="F5" s="156"/>
      <c r="G5" s="157"/>
      <c r="H5" s="156"/>
      <c r="I5" s="157"/>
      <c r="J5" s="156"/>
    </row>
    <row r="6" spans="1:10" x14ac:dyDescent="0.2">
      <c r="A6" s="158"/>
      <c r="B6" s="159"/>
      <c r="C6" s="159"/>
      <c r="D6" s="159"/>
      <c r="E6" s="159"/>
      <c r="F6" s="159"/>
      <c r="G6" s="159"/>
      <c r="H6" s="159"/>
      <c r="I6" s="159"/>
      <c r="J6" s="159"/>
    </row>
    <row r="7" spans="1:10" hidden="1" x14ac:dyDescent="0.2">
      <c r="A7" s="159"/>
      <c r="B7" s="158"/>
      <c r="C7" s="158"/>
      <c r="D7" s="158"/>
      <c r="E7" s="158"/>
      <c r="F7" s="158"/>
      <c r="G7" s="158"/>
      <c r="H7" s="158"/>
      <c r="I7" s="158"/>
      <c r="J7" s="158"/>
    </row>
    <row r="8" spans="1:10" hidden="1" x14ac:dyDescent="0.2">
      <c r="A8" s="159"/>
      <c r="B8" s="158"/>
      <c r="C8" s="158"/>
      <c r="D8" s="158"/>
      <c r="E8" s="158"/>
      <c r="F8" s="158"/>
      <c r="G8" s="158"/>
      <c r="H8" s="158"/>
      <c r="I8" s="158"/>
      <c r="J8" s="158"/>
    </row>
    <row r="9" spans="1:10" hidden="1" x14ac:dyDescent="0.2">
      <c r="A9" s="159"/>
      <c r="B9" s="158"/>
      <c r="C9" s="158"/>
      <c r="D9" s="158"/>
      <c r="E9" s="158"/>
      <c r="F9" s="158"/>
      <c r="G9" s="158"/>
      <c r="H9" s="158"/>
      <c r="I9" s="158"/>
      <c r="J9" s="158"/>
    </row>
    <row r="10" spans="1:10" x14ac:dyDescent="0.2">
      <c r="A10" s="159"/>
      <c r="B10" s="159"/>
      <c r="C10" s="162"/>
      <c r="D10" s="159"/>
      <c r="E10" s="162"/>
      <c r="F10" s="159"/>
      <c r="G10" s="162"/>
      <c r="H10" s="159"/>
      <c r="I10" s="162"/>
      <c r="J10" s="159"/>
    </row>
    <row r="11" spans="1:10" x14ac:dyDescent="0.2">
      <c r="A11" s="159" t="s">
        <v>230</v>
      </c>
      <c r="B11" s="158"/>
      <c r="C11" s="160"/>
      <c r="D11" s="158"/>
      <c r="E11" s="160"/>
      <c r="F11" s="158"/>
      <c r="G11" s="160"/>
      <c r="H11" s="158"/>
      <c r="I11" s="160"/>
      <c r="J11" s="158"/>
    </row>
    <row r="12" spans="1:10" x14ac:dyDescent="0.2">
      <c r="A12" s="163" t="s">
        <v>231</v>
      </c>
      <c r="B12" s="158"/>
      <c r="C12" s="164">
        <f>'Ratios '!C60</f>
        <v>540750</v>
      </c>
      <c r="D12" s="164">
        <f>'Ratios '!D60</f>
        <v>0</v>
      </c>
      <c r="E12" s="164">
        <f>'Ratios '!E60</f>
        <v>694000</v>
      </c>
      <c r="F12" s="164">
        <f>'Ratios '!F60</f>
        <v>0</v>
      </c>
      <c r="G12" s="164" t="e">
        <f>'Ratios '!G60</f>
        <v>#REF!</v>
      </c>
      <c r="H12" s="164">
        <f>'Ratios '!H60</f>
        <v>0</v>
      </c>
      <c r="I12" s="164" t="e">
        <f>'Ratios '!I60</f>
        <v>#REF!</v>
      </c>
      <c r="J12" s="164"/>
    </row>
    <row r="13" spans="1:10" x14ac:dyDescent="0.2">
      <c r="A13" s="163" t="s">
        <v>232</v>
      </c>
      <c r="B13" s="158"/>
      <c r="C13" s="164">
        <f>'Ratios '!C62</f>
        <v>823750</v>
      </c>
      <c r="D13" s="164">
        <f>'Ratios '!D62</f>
        <v>0</v>
      </c>
      <c r="E13" s="164">
        <f>'Ratios '!E62</f>
        <v>1135000</v>
      </c>
      <c r="F13" s="164">
        <f>'Ratios '!F62</f>
        <v>0</v>
      </c>
      <c r="G13" s="164" t="e">
        <f>'Ratios '!G62</f>
        <v>#REF!</v>
      </c>
      <c r="H13" s="164">
        <f>'Ratios '!H62</f>
        <v>0</v>
      </c>
      <c r="I13" s="164" t="e">
        <f>'Ratios '!I62</f>
        <v>#REF!</v>
      </c>
      <c r="J13" s="164"/>
    </row>
    <row r="14" spans="1:10" x14ac:dyDescent="0.2">
      <c r="A14" s="166" t="s">
        <v>233</v>
      </c>
      <c r="B14" s="158"/>
      <c r="C14" s="167">
        <f t="shared" ref="C14:I14" si="0">C12-C13</f>
        <v>-283000</v>
      </c>
      <c r="D14" s="167">
        <f t="shared" si="0"/>
        <v>0</v>
      </c>
      <c r="E14" s="167">
        <f t="shared" si="0"/>
        <v>-441000</v>
      </c>
      <c r="F14" s="167">
        <f t="shared" si="0"/>
        <v>0</v>
      </c>
      <c r="G14" s="167" t="e">
        <f t="shared" si="0"/>
        <v>#REF!</v>
      </c>
      <c r="H14" s="167">
        <f t="shared" si="0"/>
        <v>0</v>
      </c>
      <c r="I14" s="167" t="e">
        <f t="shared" si="0"/>
        <v>#REF!</v>
      </c>
      <c r="J14" s="167"/>
    </row>
    <row r="15" spans="1:10" x14ac:dyDescent="0.2">
      <c r="A15" s="163" t="s">
        <v>234</v>
      </c>
      <c r="B15" s="158"/>
      <c r="C15" s="168">
        <f>+C14/'Ratios '!E10</f>
        <v>-0.16255025847214244</v>
      </c>
      <c r="D15" s="158"/>
      <c r="E15" s="168" t="e">
        <f>+E14/'Ratios '!G10</f>
        <v>#REF!</v>
      </c>
      <c r="F15" s="158"/>
      <c r="G15" s="168" t="e">
        <f>+G14/'Ratios '!I10</f>
        <v>#REF!</v>
      </c>
      <c r="H15" s="158"/>
      <c r="I15" s="168" t="e">
        <f>+I14/'Ratios '!I10</f>
        <v>#REF!</v>
      </c>
      <c r="J15" s="158"/>
    </row>
    <row r="16" spans="1:10" x14ac:dyDescent="0.2">
      <c r="A16" s="163" t="s">
        <v>235</v>
      </c>
      <c r="B16" s="158"/>
      <c r="C16" s="168">
        <v>0.1</v>
      </c>
      <c r="D16" s="158"/>
      <c r="E16" s="168">
        <v>0.1</v>
      </c>
      <c r="F16" s="158"/>
      <c r="G16" s="168">
        <v>0.1</v>
      </c>
      <c r="H16" s="158"/>
      <c r="I16" s="168">
        <v>0.1</v>
      </c>
      <c r="J16" s="158"/>
    </row>
    <row r="17" spans="1:10" x14ac:dyDescent="0.2">
      <c r="A17" s="163" t="s">
        <v>236</v>
      </c>
      <c r="B17" s="158"/>
      <c r="C17" s="169" t="str">
        <f>IF(C15&lt;C16,"Yes","No")</f>
        <v>Yes</v>
      </c>
      <c r="D17" s="158"/>
      <c r="E17" s="169" t="e">
        <f>IF(E15&lt;E16,"Yes","No")</f>
        <v>#REF!</v>
      </c>
      <c r="F17" s="158"/>
      <c r="G17" s="169" t="e">
        <f>IF(G15&lt;G16,"Yes","No")</f>
        <v>#REF!</v>
      </c>
      <c r="H17" s="158"/>
      <c r="I17" s="169" t="e">
        <f>IF(I15&lt;I16,"Yes","No")</f>
        <v>#REF!</v>
      </c>
      <c r="J17" s="158"/>
    </row>
    <row r="18" spans="1:10" x14ac:dyDescent="0.2">
      <c r="A18" s="158"/>
      <c r="B18" s="158"/>
      <c r="C18" s="163"/>
      <c r="D18" s="158"/>
      <c r="E18" s="163"/>
      <c r="F18" s="158"/>
      <c r="G18" s="163"/>
      <c r="H18" s="158"/>
      <c r="I18" s="163"/>
      <c r="J18" s="158"/>
    </row>
    <row r="19" spans="1:10" x14ac:dyDescent="0.2">
      <c r="A19" s="159" t="s">
        <v>237</v>
      </c>
      <c r="B19" s="158"/>
      <c r="C19" s="169"/>
      <c r="D19" s="158"/>
      <c r="E19" s="169"/>
      <c r="F19" s="158"/>
      <c r="G19" s="169"/>
      <c r="H19" s="158"/>
      <c r="I19" s="169"/>
      <c r="J19" s="158"/>
    </row>
    <row r="20" spans="1:10" x14ac:dyDescent="0.2">
      <c r="A20" s="163" t="s">
        <v>238</v>
      </c>
      <c r="B20" s="158"/>
      <c r="C20" s="169">
        <f>'Ratios '!E9/'Ratios '!E25</f>
        <v>0.16666666666666666</v>
      </c>
      <c r="D20" s="169"/>
      <c r="E20" s="169" t="e">
        <f>'Ratios '!G9/'Ratios '!G25</f>
        <v>#REF!</v>
      </c>
      <c r="F20" s="169"/>
      <c r="G20" s="169" t="e">
        <f>'Ratios '!I9/'Ratios '!I25</f>
        <v>#REF!</v>
      </c>
      <c r="H20" s="169"/>
      <c r="I20" s="169" t="e">
        <f>'Ratios '!I9/'Ratios '!I25</f>
        <v>#REF!</v>
      </c>
      <c r="J20" s="169"/>
    </row>
    <row r="21" spans="1:10" x14ac:dyDescent="0.2">
      <c r="A21" s="163" t="s">
        <v>239</v>
      </c>
      <c r="B21" s="158"/>
      <c r="C21" s="169">
        <v>0.15</v>
      </c>
      <c r="D21" s="158"/>
      <c r="E21" s="169">
        <v>0.15</v>
      </c>
      <c r="F21" s="158"/>
      <c r="G21" s="169">
        <v>0.15</v>
      </c>
      <c r="H21" s="158"/>
      <c r="I21" s="169">
        <v>0.15</v>
      </c>
      <c r="J21" s="158"/>
    </row>
    <row r="22" spans="1:10" x14ac:dyDescent="0.2">
      <c r="A22" s="163" t="s">
        <v>236</v>
      </c>
      <c r="B22" s="158"/>
      <c r="C22" s="169" t="str">
        <f>IF(C20&gt;C21,"Yes","No")</f>
        <v>Yes</v>
      </c>
      <c r="D22" s="158"/>
      <c r="E22" s="169" t="e">
        <f>IF(E20&gt;E21,"Yes","No")</f>
        <v>#REF!</v>
      </c>
      <c r="F22" s="158"/>
      <c r="G22" s="169" t="e">
        <f>IF(G20&gt;G21,"Yes","No")</f>
        <v>#REF!</v>
      </c>
      <c r="H22" s="158"/>
      <c r="I22" s="169" t="e">
        <f>IF(I20&gt;I21,"Yes","No")</f>
        <v>#REF!</v>
      </c>
      <c r="J22" s="158"/>
    </row>
    <row r="23" spans="1:10" x14ac:dyDescent="0.2">
      <c r="A23" s="158"/>
      <c r="B23" s="158"/>
      <c r="C23" s="163"/>
      <c r="D23" s="158"/>
      <c r="E23" s="163"/>
      <c r="F23" s="158"/>
      <c r="G23" s="163"/>
      <c r="H23" s="158"/>
      <c r="I23" s="163"/>
      <c r="J23" s="158"/>
    </row>
    <row r="24" spans="1:10" x14ac:dyDescent="0.2">
      <c r="A24" s="159" t="s">
        <v>327</v>
      </c>
      <c r="B24" s="158"/>
      <c r="C24" s="163"/>
      <c r="D24" s="158"/>
      <c r="E24" s="163"/>
      <c r="F24" s="158"/>
      <c r="G24" s="163"/>
      <c r="H24" s="158"/>
      <c r="I24" s="163"/>
      <c r="J24" s="158"/>
    </row>
    <row r="25" spans="1:10" x14ac:dyDescent="0.2">
      <c r="A25" s="163" t="s">
        <v>238</v>
      </c>
      <c r="B25" s="158"/>
      <c r="C25" s="169" t="e">
        <f>-'Stmt Position'!G23/'Ratios '!E29</f>
        <v>#REF!</v>
      </c>
      <c r="D25" s="169"/>
      <c r="E25" s="169" t="e">
        <f>-'Stmt Position'!#REF!/'Ratios '!G29</f>
        <v>#REF!</v>
      </c>
      <c r="F25" s="169"/>
      <c r="G25" s="169" t="e">
        <f>-'Stmt Position'!#REF!/'Ratios '!I29</f>
        <v>#REF!</v>
      </c>
      <c r="H25" s="169"/>
      <c r="I25" s="169" t="e">
        <f>-'Stmt Position'!#REF!/'Ratios '!I29</f>
        <v>#REF!</v>
      </c>
      <c r="J25" s="169"/>
    </row>
    <row r="26" spans="1:10" x14ac:dyDescent="0.2">
      <c r="A26" s="163" t="s">
        <v>239</v>
      </c>
      <c r="B26" s="158"/>
      <c r="C26" s="169">
        <v>0.03</v>
      </c>
      <c r="D26" s="169"/>
      <c r="E26" s="169">
        <v>0.03</v>
      </c>
      <c r="F26" s="169"/>
      <c r="G26" s="169">
        <v>0.03</v>
      </c>
      <c r="H26" s="169"/>
      <c r="I26" s="169">
        <v>0.03</v>
      </c>
      <c r="J26" s="169"/>
    </row>
    <row r="27" spans="1:10" x14ac:dyDescent="0.2">
      <c r="A27" s="163" t="s">
        <v>236</v>
      </c>
      <c r="B27" s="158"/>
      <c r="C27" s="169" t="e">
        <f>IF(C25&lt;C26,"No","Yes")</f>
        <v>#REF!</v>
      </c>
      <c r="D27" s="158"/>
      <c r="E27" s="169" t="e">
        <f>IF(E25&lt;E26,"No","Yes")</f>
        <v>#REF!</v>
      </c>
      <c r="F27" s="158"/>
      <c r="G27" s="169" t="e">
        <f>IF(G25&lt;G26,"No","Yes")</f>
        <v>#REF!</v>
      </c>
      <c r="H27" s="158"/>
      <c r="I27" s="169" t="e">
        <f>IF(I25&lt;I26,"No","Yes")</f>
        <v>#REF!</v>
      </c>
      <c r="J27" s="158"/>
    </row>
    <row r="28" spans="1:10" x14ac:dyDescent="0.2">
      <c r="A28" s="158"/>
      <c r="B28" s="158"/>
      <c r="C28" s="163"/>
      <c r="D28" s="158"/>
      <c r="E28" s="163"/>
      <c r="F28" s="158"/>
      <c r="G28" s="163"/>
      <c r="H28" s="158"/>
      <c r="I28" s="163"/>
      <c r="J28" s="158"/>
    </row>
    <row r="29" spans="1:10" x14ac:dyDescent="0.2">
      <c r="A29" s="170" t="s">
        <v>242</v>
      </c>
      <c r="B29" s="158"/>
      <c r="C29" s="163"/>
      <c r="D29" s="158"/>
      <c r="E29" s="163"/>
      <c r="F29" s="158"/>
      <c r="G29" s="163"/>
      <c r="H29" s="158"/>
      <c r="I29" s="163"/>
      <c r="J29" s="158"/>
    </row>
    <row r="30" spans="1:10" x14ac:dyDescent="0.2">
      <c r="A30" s="163" t="s">
        <v>243</v>
      </c>
      <c r="B30" s="158"/>
      <c r="C30" s="168">
        <f>375000/'Ratios '!E25</f>
        <v>8.9285714285714288E-2</v>
      </c>
      <c r="D30" s="168"/>
      <c r="E30" s="168" t="e">
        <f>375000/'Ratios '!G25</f>
        <v>#REF!</v>
      </c>
      <c r="F30" s="168"/>
      <c r="G30" s="168" t="e">
        <f>375000/'Ratios '!I25</f>
        <v>#REF!</v>
      </c>
      <c r="H30" s="168"/>
      <c r="I30" s="168" t="e">
        <f>375000/'Ratios '!I25</f>
        <v>#REF!</v>
      </c>
      <c r="J30" s="168"/>
    </row>
    <row r="31" spans="1:10" x14ac:dyDescent="0.2">
      <c r="A31" s="163" t="s">
        <v>235</v>
      </c>
      <c r="B31" s="158"/>
      <c r="C31" s="168">
        <v>0.1</v>
      </c>
      <c r="D31" s="158"/>
      <c r="E31" s="168">
        <v>0.1</v>
      </c>
      <c r="F31" s="158"/>
      <c r="G31" s="168">
        <v>0.1</v>
      </c>
      <c r="H31" s="158"/>
      <c r="I31" s="168">
        <v>0.1</v>
      </c>
      <c r="J31" s="158"/>
    </row>
    <row r="32" spans="1:10" x14ac:dyDescent="0.2">
      <c r="A32" s="163" t="s">
        <v>236</v>
      </c>
      <c r="B32" s="158"/>
      <c r="C32" s="163" t="str">
        <f>IF(C30&lt;C31,"Yes","No")</f>
        <v>Yes</v>
      </c>
      <c r="D32" s="158"/>
      <c r="E32" s="163" t="e">
        <f>IF(E30&lt;E31,"Yes","No")</f>
        <v>#REF!</v>
      </c>
      <c r="F32" s="158"/>
      <c r="G32" s="163" t="e">
        <f>IF(G30&lt;G31,"Yes","No")</f>
        <v>#REF!</v>
      </c>
      <c r="H32" s="158"/>
      <c r="I32" s="163" t="e">
        <f>IF(I30&lt;I31,"Yes","No")</f>
        <v>#REF!</v>
      </c>
      <c r="J32" s="158"/>
    </row>
    <row r="33" spans="1:10" x14ac:dyDescent="0.2">
      <c r="A33" s="158"/>
      <c r="B33" s="158"/>
      <c r="C33" s="158"/>
      <c r="D33" s="158"/>
      <c r="E33" s="158"/>
      <c r="F33" s="158"/>
      <c r="G33" s="158"/>
      <c r="H33" s="158"/>
      <c r="I33" s="158"/>
      <c r="J33" s="158"/>
    </row>
    <row r="34" spans="1:10" x14ac:dyDescent="0.2">
      <c r="A34" s="139"/>
      <c r="B34" s="139"/>
      <c r="C34" s="139"/>
      <c r="D34" s="139"/>
      <c r="E34" s="139"/>
      <c r="F34" s="139"/>
      <c r="G34" s="139"/>
      <c r="H34" s="139"/>
      <c r="I34" s="139"/>
      <c r="J34" s="139"/>
    </row>
    <row r="35" spans="1:10" x14ac:dyDescent="0.2">
      <c r="A35" s="139"/>
      <c r="B35" s="139"/>
      <c r="C35" s="139"/>
      <c r="D35" s="139"/>
      <c r="E35" s="139"/>
      <c r="F35" s="139"/>
      <c r="G35" s="139"/>
      <c r="H35" s="139"/>
      <c r="I35" s="139"/>
      <c r="J35" s="139"/>
    </row>
    <row r="36" spans="1:10" x14ac:dyDescent="0.2">
      <c r="A36" s="139"/>
      <c r="B36" s="139"/>
      <c r="C36" s="139"/>
      <c r="D36" s="139"/>
      <c r="E36" s="139"/>
      <c r="F36" s="139"/>
      <c r="G36" s="139"/>
      <c r="H36" s="139"/>
      <c r="I36" s="139"/>
      <c r="J36" s="139"/>
    </row>
    <row r="37" spans="1:10" x14ac:dyDescent="0.2">
      <c r="A37" s="139"/>
      <c r="B37" s="139"/>
      <c r="C37" s="139"/>
      <c r="D37" s="139"/>
      <c r="E37" s="139"/>
      <c r="F37" s="139"/>
      <c r="G37" s="139"/>
      <c r="H37" s="139"/>
      <c r="I37" s="139"/>
      <c r="J37" s="139"/>
    </row>
  </sheetData>
  <phoneticPr fontId="3" type="noConversion"/>
  <conditionalFormatting sqref="C32 E32 E17 C17 G32 G17 I32 I17">
    <cfRule type="expression" dxfId="2" priority="1" stopIfTrue="1">
      <formula>C15&gt;C16</formula>
    </cfRule>
  </conditionalFormatting>
  <conditionalFormatting sqref="C27 E27 G27 I27">
    <cfRule type="expression" dxfId="1" priority="2" stopIfTrue="1">
      <formula>C25&lt;C26</formula>
    </cfRule>
  </conditionalFormatting>
  <conditionalFormatting sqref="C22 E22 G22 I22">
    <cfRule type="expression" dxfId="0" priority="3" stopIfTrue="1">
      <formula>$M$21&gt;$M$20</formula>
    </cfRule>
  </conditionalFormatting>
  <pageMargins left="0.75" right="0.75" top="1" bottom="1" header="0.5" footer="0.5"/>
  <pageSetup scale="78" orientation="portrait"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8"/>
  </sheetPr>
  <dimension ref="A1:V392"/>
  <sheetViews>
    <sheetView topLeftCell="A242" zoomScale="85" workbookViewId="0">
      <selection activeCell="E128" sqref="E128"/>
    </sheetView>
  </sheetViews>
  <sheetFormatPr defaultRowHeight="12.75" x14ac:dyDescent="0.2"/>
  <cols>
    <col min="1" max="1" width="9.33203125" style="286"/>
    <col min="2" max="2" width="37.1640625" style="286" customWidth="1"/>
    <col min="3" max="3" width="15.1640625" style="286" customWidth="1"/>
    <col min="4" max="4" width="6.83203125" style="286" hidden="1" customWidth="1"/>
    <col min="5" max="5" width="14.33203125" style="286" customWidth="1"/>
    <col min="6" max="6" width="6.83203125" style="286" hidden="1" customWidth="1"/>
    <col min="7" max="7" width="14.5" style="286" customWidth="1"/>
    <col min="8" max="8" width="6.83203125" style="286" hidden="1" customWidth="1"/>
    <col min="9" max="9" width="14" style="286" customWidth="1"/>
    <col min="10" max="10" width="6.83203125" style="286" hidden="1" customWidth="1"/>
    <col min="11" max="11" width="14.33203125" style="286" customWidth="1"/>
    <col min="12" max="12" width="0" style="286" hidden="1" customWidth="1"/>
    <col min="13" max="13" width="14.33203125" style="286" customWidth="1"/>
    <col min="14" max="14" width="0" style="286" hidden="1" customWidth="1"/>
    <col min="15" max="15" width="14.33203125" style="286" customWidth="1"/>
    <col min="16" max="16" width="0" style="286" hidden="1" customWidth="1"/>
    <col min="17" max="17" width="14.33203125" style="286" customWidth="1"/>
    <col min="18" max="18" width="0" style="286" hidden="1" customWidth="1"/>
    <col min="19" max="19" width="14.1640625" style="286" customWidth="1"/>
    <col min="20" max="20" width="0" style="286" hidden="1" customWidth="1"/>
    <col min="21" max="21" width="14.1640625" style="286" customWidth="1"/>
    <col min="22" max="22" width="10.5" style="286" bestFit="1" customWidth="1"/>
    <col min="23" max="16384" width="9.33203125" style="286"/>
  </cols>
  <sheetData>
    <row r="1" spans="1:11" ht="19.5" x14ac:dyDescent="0.25">
      <c r="A1" s="480" t="s">
        <v>431</v>
      </c>
    </row>
    <row r="3" spans="1:11" x14ac:dyDescent="0.2">
      <c r="A3" s="467"/>
    </row>
    <row r="4" spans="1:11" x14ac:dyDescent="0.2">
      <c r="A4" s="467"/>
      <c r="B4" s="711"/>
    </row>
    <row r="6" spans="1:11" x14ac:dyDescent="0.2">
      <c r="A6" s="467" t="s">
        <v>604</v>
      </c>
    </row>
    <row r="7" spans="1:11" x14ac:dyDescent="0.2">
      <c r="B7" s="711" t="s">
        <v>449</v>
      </c>
    </row>
    <row r="8" spans="1:11" x14ac:dyDescent="0.2">
      <c r="A8" s="712"/>
    </row>
    <row r="9" spans="1:11" x14ac:dyDescent="0.2">
      <c r="A9" s="634" t="s">
        <v>605</v>
      </c>
    </row>
    <row r="10" spans="1:11" ht="17.25" customHeight="1" thickBot="1" x14ac:dyDescent="0.25">
      <c r="A10" s="712"/>
      <c r="B10" s="472" t="s">
        <v>545</v>
      </c>
      <c r="C10" s="551">
        <f>INPUT!C$5</f>
        <v>40908</v>
      </c>
      <c r="D10" s="551"/>
      <c r="E10" s="551">
        <f>INPUT!E$5</f>
        <v>41274</v>
      </c>
      <c r="F10" s="551"/>
      <c r="G10" s="551">
        <f>INPUT!G$5</f>
        <v>41639</v>
      </c>
      <c r="H10" s="551"/>
      <c r="I10" s="551" t="e">
        <f>INPUT!#REF!</f>
        <v>#REF!</v>
      </c>
      <c r="J10" s="551"/>
      <c r="K10" s="551">
        <f>INPUT!I$5</f>
        <v>42004</v>
      </c>
    </row>
    <row r="11" spans="1:11" ht="30" customHeight="1" x14ac:dyDescent="0.2">
      <c r="A11" s="712"/>
      <c r="B11" s="470" t="s">
        <v>432</v>
      </c>
      <c r="C11" s="575">
        <f>(Sum!C8+Sum!C87+Sum!C88+Sum!C89+Sum!C19)/1000</f>
        <v>4718</v>
      </c>
      <c r="D11" s="552"/>
      <c r="E11" s="575">
        <f>(Sum!E8+Sum!E87+Sum!E88+Sum!E89+Sum!E19)/1000</f>
        <v>5432</v>
      </c>
      <c r="F11" s="552"/>
      <c r="G11" s="575">
        <f>(Sum!G8+Sum!G87+Sum!G88+Sum!G89+Sum!G19)/1000</f>
        <v>4941</v>
      </c>
      <c r="H11" s="552"/>
      <c r="I11" s="575" t="e">
        <f>(Sum!I8+Sum!I87+Sum!I88+Sum!I89+Sum!I19)/1000</f>
        <v>#REF!</v>
      </c>
      <c r="J11" s="552"/>
      <c r="K11" s="575">
        <f>(Sum!K8+Sum!K87+Sum!K88+Sum!K89+Sum!K19)/1000</f>
        <v>6443.75</v>
      </c>
    </row>
    <row r="12" spans="1:11" x14ac:dyDescent="0.2">
      <c r="A12" s="712"/>
      <c r="B12" s="469" t="s">
        <v>535</v>
      </c>
      <c r="C12" s="575">
        <f>(Sum!C49)/1000</f>
        <v>3550</v>
      </c>
      <c r="D12" s="559"/>
      <c r="E12" s="575">
        <f>(Sum!E49)/1000</f>
        <v>4050</v>
      </c>
      <c r="F12" s="559"/>
      <c r="G12" s="575">
        <f>(Sum!G49)/1000</f>
        <v>4875</v>
      </c>
      <c r="H12" s="559"/>
      <c r="I12" s="575" t="e">
        <f>(Sum!I49)/1000</f>
        <v>#REF!</v>
      </c>
      <c r="J12" s="559"/>
      <c r="K12" s="575">
        <f>(Sum!K49)/1000</f>
        <v>5025</v>
      </c>
    </row>
    <row r="13" spans="1:11" ht="15" customHeight="1" x14ac:dyDescent="0.2">
      <c r="A13" s="712"/>
      <c r="B13" s="474" t="s">
        <v>434</v>
      </c>
      <c r="C13" s="600">
        <f>Sum!C51/1000</f>
        <v>0</v>
      </c>
      <c r="D13" s="601"/>
      <c r="E13" s="600">
        <f>Sum!E51/1000</f>
        <v>0</v>
      </c>
      <c r="F13" s="601"/>
      <c r="G13" s="600">
        <f>Sum!G51/1000</f>
        <v>0</v>
      </c>
      <c r="H13" s="601"/>
      <c r="I13" s="600" t="e">
        <f>Sum!I51/1000</f>
        <v>#REF!</v>
      </c>
      <c r="J13" s="601"/>
      <c r="K13" s="600">
        <f>Sum!K51/1000</f>
        <v>0</v>
      </c>
    </row>
    <row r="14" spans="1:11" s="714" customFormat="1" ht="15" customHeight="1" x14ac:dyDescent="0.2">
      <c r="A14" s="713"/>
      <c r="B14" s="554" t="s">
        <v>433</v>
      </c>
      <c r="C14" s="555" t="s">
        <v>436</v>
      </c>
      <c r="D14" s="555"/>
      <c r="E14" s="556" t="e">
        <f>(E13-C13)/ABS(C13)</f>
        <v>#DIV/0!</v>
      </c>
      <c r="F14" s="555"/>
      <c r="G14" s="556" t="e">
        <f>(G13-E13)/ABS(E13)</f>
        <v>#DIV/0!</v>
      </c>
      <c r="H14" s="555"/>
      <c r="I14" s="556" t="e">
        <f>(I13-G13)/ABS(G13)</f>
        <v>#REF!</v>
      </c>
      <c r="J14" s="555"/>
      <c r="K14" s="556" t="e">
        <f>(K13-I13)/ABS(I13)</f>
        <v>#REF!</v>
      </c>
    </row>
    <row r="15" spans="1:11" ht="15" customHeight="1" x14ac:dyDescent="0.2">
      <c r="A15" s="712"/>
      <c r="B15" s="474" t="s">
        <v>435</v>
      </c>
      <c r="C15" s="600">
        <f>INPUT!C137/1000</f>
        <v>0</v>
      </c>
      <c r="D15" s="601"/>
      <c r="E15" s="600">
        <f>INPUT!E137/1000</f>
        <v>0</v>
      </c>
      <c r="F15" s="601"/>
      <c r="G15" s="600">
        <f>INPUT!G137/1000</f>
        <v>0</v>
      </c>
      <c r="H15" s="601"/>
      <c r="I15" s="600" t="e">
        <f>INPUT!#REF!/1000</f>
        <v>#REF!</v>
      </c>
      <c r="J15" s="601"/>
      <c r="K15" s="600">
        <f>INPUT!I137/1000</f>
        <v>0</v>
      </c>
    </row>
    <row r="16" spans="1:11" ht="15" customHeight="1" x14ac:dyDescent="0.2">
      <c r="A16" s="712"/>
      <c r="B16" s="557" t="s">
        <v>433</v>
      </c>
      <c r="C16" s="555" t="s">
        <v>436</v>
      </c>
      <c r="D16" s="555"/>
      <c r="E16" s="556" t="e">
        <f>(E15-C15)/ABS(C15)</f>
        <v>#DIV/0!</v>
      </c>
      <c r="F16" s="555"/>
      <c r="G16" s="556" t="e">
        <f>(G15-E15)/ABS(E15)</f>
        <v>#DIV/0!</v>
      </c>
      <c r="H16" s="555"/>
      <c r="I16" s="556" t="e">
        <f>(I15-G15)/ABS(G15)</f>
        <v>#REF!</v>
      </c>
      <c r="J16" s="555"/>
      <c r="K16" s="556" t="e">
        <f>(K15-I15)/ABS(I15)</f>
        <v>#REF!</v>
      </c>
    </row>
    <row r="17" spans="1:9" x14ac:dyDescent="0.2">
      <c r="A17" s="712"/>
      <c r="B17" s="479" t="s">
        <v>620</v>
      </c>
    </row>
    <row r="18" spans="1:9" x14ac:dyDescent="0.2">
      <c r="B18" s="479"/>
    </row>
    <row r="19" spans="1:9" x14ac:dyDescent="0.2">
      <c r="A19" s="467" t="s">
        <v>606</v>
      </c>
      <c r="B19" s="479"/>
    </row>
    <row r="20" spans="1:9" x14ac:dyDescent="0.2">
      <c r="B20" s="479"/>
      <c r="I20" s="715"/>
    </row>
    <row r="21" spans="1:9" x14ac:dyDescent="0.2">
      <c r="B21" s="479"/>
    </row>
    <row r="22" spans="1:9" x14ac:dyDescent="0.2">
      <c r="B22" s="479"/>
    </row>
    <row r="23" spans="1:9" x14ac:dyDescent="0.2">
      <c r="B23" s="479"/>
    </row>
    <row r="24" spans="1:9" x14ac:dyDescent="0.2">
      <c r="B24" s="479"/>
    </row>
    <row r="25" spans="1:9" x14ac:dyDescent="0.2">
      <c r="B25" s="479"/>
    </row>
    <row r="26" spans="1:9" x14ac:dyDescent="0.2">
      <c r="B26" s="479"/>
    </row>
    <row r="27" spans="1:9" x14ac:dyDescent="0.2">
      <c r="B27" s="479"/>
    </row>
    <row r="28" spans="1:9" x14ac:dyDescent="0.2">
      <c r="B28" s="479"/>
    </row>
    <row r="29" spans="1:9" x14ac:dyDescent="0.2">
      <c r="B29" s="479"/>
    </row>
    <row r="30" spans="1:9" x14ac:dyDescent="0.2">
      <c r="B30" s="479"/>
    </row>
    <row r="31" spans="1:9" x14ac:dyDescent="0.2">
      <c r="B31" s="479"/>
    </row>
    <row r="32" spans="1:9" x14ac:dyDescent="0.2">
      <c r="B32" s="479"/>
    </row>
    <row r="33" spans="1:11" x14ac:dyDescent="0.2">
      <c r="B33" s="479"/>
    </row>
    <row r="34" spans="1:11" x14ac:dyDescent="0.2">
      <c r="B34" s="479"/>
    </row>
    <row r="35" spans="1:11" x14ac:dyDescent="0.2">
      <c r="B35" s="479"/>
    </row>
    <row r="36" spans="1:11" x14ac:dyDescent="0.2">
      <c r="B36" s="479"/>
    </row>
    <row r="37" spans="1:11" x14ac:dyDescent="0.2">
      <c r="B37" s="479"/>
    </row>
    <row r="38" spans="1:11" x14ac:dyDescent="0.2">
      <c r="B38" s="479"/>
    </row>
    <row r="39" spans="1:11" ht="13.5" thickBot="1" x14ac:dyDescent="0.25">
      <c r="B39" s="479"/>
      <c r="C39" s="477" t="s">
        <v>522</v>
      </c>
      <c r="D39" s="478"/>
      <c r="E39" s="477" t="s">
        <v>578</v>
      </c>
      <c r="F39" s="478"/>
      <c r="G39" s="477" t="s">
        <v>579</v>
      </c>
      <c r="H39" s="478"/>
      <c r="I39" s="477" t="s">
        <v>580</v>
      </c>
      <c r="J39" s="478"/>
      <c r="K39" s="477" t="s">
        <v>581</v>
      </c>
    </row>
    <row r="40" spans="1:11" x14ac:dyDescent="0.2">
      <c r="B40" s="479" t="s">
        <v>437</v>
      </c>
      <c r="C40" s="716">
        <f>C12/C11</f>
        <v>0.75243747350572276</v>
      </c>
      <c r="D40" s="716"/>
      <c r="E40" s="716">
        <f>E12/E11</f>
        <v>0.7455817378497791</v>
      </c>
      <c r="F40" s="716"/>
      <c r="G40" s="716">
        <f>G12/G11</f>
        <v>0.98664238008500305</v>
      </c>
      <c r="H40" s="716"/>
      <c r="I40" s="716" t="e">
        <f>I12/I11</f>
        <v>#REF!</v>
      </c>
      <c r="J40" s="716"/>
      <c r="K40" s="716">
        <f>K12/K11</f>
        <v>0.77982541222114454</v>
      </c>
    </row>
    <row r="41" spans="1:11" x14ac:dyDescent="0.2">
      <c r="B41" s="479" t="s">
        <v>438</v>
      </c>
      <c r="C41" s="716">
        <f>(C12+C15)/C11</f>
        <v>0.75243747350572276</v>
      </c>
      <c r="D41" s="716"/>
      <c r="E41" s="716">
        <f>(E12+E15)/E11</f>
        <v>0.7455817378497791</v>
      </c>
      <c r="F41" s="716"/>
      <c r="G41" s="716">
        <f>(G12+G15)/G11</f>
        <v>0.98664238008500305</v>
      </c>
      <c r="H41" s="716"/>
      <c r="I41" s="716" t="e">
        <f>(I12+I15)/I11</f>
        <v>#REF!</v>
      </c>
      <c r="J41" s="716"/>
      <c r="K41" s="716">
        <f>(K12+K15)/K11</f>
        <v>0.77982541222114454</v>
      </c>
    </row>
    <row r="44" spans="1:11" x14ac:dyDescent="0.2">
      <c r="A44" s="467" t="s">
        <v>603</v>
      </c>
    </row>
    <row r="45" spans="1:11" ht="15" customHeight="1" thickBot="1" x14ac:dyDescent="0.25">
      <c r="B45" s="473" t="s">
        <v>439</v>
      </c>
      <c r="C45" s="551">
        <f>INPUT!C$5</f>
        <v>40908</v>
      </c>
      <c r="D45" s="551"/>
      <c r="E45" s="551">
        <f>INPUT!E$5</f>
        <v>41274</v>
      </c>
      <c r="F45" s="551"/>
      <c r="G45" s="551">
        <f>INPUT!G$5</f>
        <v>41639</v>
      </c>
      <c r="H45" s="551"/>
      <c r="I45" s="551" t="e">
        <f>INPUT!#REF!</f>
        <v>#REF!</v>
      </c>
      <c r="J45" s="551"/>
      <c r="K45" s="551">
        <f>INPUT!I$5</f>
        <v>42004</v>
      </c>
    </row>
    <row r="46" spans="1:11" x14ac:dyDescent="0.2">
      <c r="B46" s="471" t="str">
        <f>INPUT!B155</f>
        <v>Output Data CDFI Uses</v>
      </c>
      <c r="C46" s="471">
        <f>INPUT!C155</f>
        <v>0</v>
      </c>
      <c r="D46" s="471"/>
      <c r="E46" s="471">
        <f>INPUT!E155</f>
        <v>0</v>
      </c>
      <c r="F46" s="471"/>
      <c r="G46" s="471">
        <f>INPUT!G155</f>
        <v>0</v>
      </c>
      <c r="H46" s="471"/>
      <c r="I46" s="471" t="e">
        <f>INPUT!#REF!</f>
        <v>#REF!</v>
      </c>
      <c r="J46" s="471"/>
      <c r="K46" s="471">
        <f>INPUT!I155</f>
        <v>0</v>
      </c>
    </row>
    <row r="47" spans="1:11" x14ac:dyDescent="0.2">
      <c r="B47" s="468" t="str">
        <f>INPUT!B156</f>
        <v>Output Data CDFI Uses</v>
      </c>
      <c r="C47" s="468">
        <f>INPUT!C156</f>
        <v>0</v>
      </c>
      <c r="D47" s="468"/>
      <c r="E47" s="468">
        <f>INPUT!E156</f>
        <v>0</v>
      </c>
      <c r="F47" s="468"/>
      <c r="G47" s="468">
        <f>INPUT!G156</f>
        <v>0</v>
      </c>
      <c r="H47" s="468"/>
      <c r="I47" s="468" t="e">
        <f>INPUT!#REF!</f>
        <v>#REF!</v>
      </c>
      <c r="J47" s="468"/>
      <c r="K47" s="468">
        <f>INPUT!I156</f>
        <v>0</v>
      </c>
    </row>
    <row r="48" spans="1:11" x14ac:dyDescent="0.2">
      <c r="B48" s="468" t="str">
        <f>INPUT!B157</f>
        <v>Output Data CDFI Uses</v>
      </c>
      <c r="C48" s="468">
        <f>INPUT!C157</f>
        <v>0</v>
      </c>
      <c r="D48" s="468"/>
      <c r="E48" s="468">
        <f>INPUT!E157</f>
        <v>0</v>
      </c>
      <c r="F48" s="468"/>
      <c r="G48" s="468">
        <f>INPUT!G157</f>
        <v>0</v>
      </c>
      <c r="H48" s="468"/>
      <c r="I48" s="468" t="e">
        <f>INPUT!#REF!</f>
        <v>#REF!</v>
      </c>
      <c r="J48" s="468"/>
      <c r="K48" s="468">
        <f>INPUT!I157</f>
        <v>0</v>
      </c>
    </row>
    <row r="49" spans="1:11" x14ac:dyDescent="0.2">
      <c r="B49" s="468" t="str">
        <f>INPUT!B158</f>
        <v>Output Data CDFI Uses</v>
      </c>
      <c r="C49" s="468">
        <f>INPUT!C158</f>
        <v>0</v>
      </c>
      <c r="D49" s="468"/>
      <c r="E49" s="468">
        <f>INPUT!E158</f>
        <v>0</v>
      </c>
      <c r="F49" s="468"/>
      <c r="G49" s="468">
        <f>INPUT!G158</f>
        <v>0</v>
      </c>
      <c r="H49" s="468"/>
      <c r="I49" s="468" t="e">
        <f>INPUT!#REF!</f>
        <v>#REF!</v>
      </c>
      <c r="J49" s="468"/>
      <c r="K49" s="468">
        <f>INPUT!I158</f>
        <v>0</v>
      </c>
    </row>
    <row r="50" spans="1:11" x14ac:dyDescent="0.2">
      <c r="B50" s="468" t="str">
        <f>INPUT!B159</f>
        <v>Output Data CDFI Uses</v>
      </c>
      <c r="C50" s="468">
        <f>INPUT!C159</f>
        <v>0</v>
      </c>
      <c r="D50" s="468"/>
      <c r="E50" s="468">
        <f>INPUT!E159</f>
        <v>0</v>
      </c>
      <c r="F50" s="468"/>
      <c r="G50" s="468">
        <f>INPUT!G159</f>
        <v>0</v>
      </c>
      <c r="H50" s="468"/>
      <c r="I50" s="468" t="e">
        <f>INPUT!#REF!</f>
        <v>#REF!</v>
      </c>
      <c r="J50" s="468"/>
      <c r="K50" s="468">
        <f>INPUT!I159</f>
        <v>0</v>
      </c>
    </row>
    <row r="52" spans="1:11" x14ac:dyDescent="0.2">
      <c r="A52" s="467" t="s">
        <v>607</v>
      </c>
    </row>
    <row r="53" spans="1:11" ht="15.75" customHeight="1" thickBot="1" x14ac:dyDescent="0.25">
      <c r="B53" s="481" t="s">
        <v>440</v>
      </c>
      <c r="C53" s="551">
        <f>INPUT!C$5</f>
        <v>40908</v>
      </c>
      <c r="D53" s="551"/>
      <c r="E53" s="551">
        <f>INPUT!E$5</f>
        <v>41274</v>
      </c>
      <c r="F53" s="551"/>
      <c r="G53" s="551">
        <f>INPUT!G$5</f>
        <v>41639</v>
      </c>
      <c r="H53" s="551"/>
      <c r="I53" s="551" t="e">
        <f>INPUT!#REF!</f>
        <v>#REF!</v>
      </c>
      <c r="J53" s="551"/>
      <c r="K53" s="551">
        <f>INPUT!I$5</f>
        <v>42004</v>
      </c>
    </row>
    <row r="54" spans="1:11" x14ac:dyDescent="0.2">
      <c r="B54" s="468" t="str">
        <f>INPUT!B160</f>
        <v>Outcome Data CDFI Uses</v>
      </c>
      <c r="C54" s="468">
        <f>INPUT!C160</f>
        <v>0</v>
      </c>
      <c r="D54" s="468"/>
      <c r="E54" s="468">
        <f>INPUT!E160</f>
        <v>0</v>
      </c>
      <c r="F54" s="468"/>
      <c r="G54" s="468">
        <f>INPUT!G160</f>
        <v>0</v>
      </c>
      <c r="H54" s="468"/>
      <c r="I54" s="468" t="e">
        <f>INPUT!#REF!</f>
        <v>#REF!</v>
      </c>
      <c r="J54" s="468"/>
      <c r="K54" s="468">
        <f>INPUT!I160</f>
        <v>0</v>
      </c>
    </row>
    <row r="55" spans="1:11" x14ac:dyDescent="0.2">
      <c r="B55" s="468" t="str">
        <f>INPUT!B161</f>
        <v>Outcome Data CDFI Uses</v>
      </c>
      <c r="C55" s="468">
        <f>INPUT!C161</f>
        <v>0</v>
      </c>
      <c r="D55" s="468"/>
      <c r="E55" s="468">
        <f>INPUT!E161</f>
        <v>0</v>
      </c>
      <c r="F55" s="468"/>
      <c r="G55" s="468">
        <f>INPUT!G161</f>
        <v>0</v>
      </c>
      <c r="H55" s="468"/>
      <c r="I55" s="468" t="e">
        <f>INPUT!#REF!</f>
        <v>#REF!</v>
      </c>
      <c r="J55" s="468"/>
      <c r="K55" s="468">
        <f>INPUT!I161</f>
        <v>0</v>
      </c>
    </row>
    <row r="56" spans="1:11" x14ac:dyDescent="0.2">
      <c r="B56" s="468" t="str">
        <f>INPUT!B162</f>
        <v>Outcome Data CDFI Uses</v>
      </c>
      <c r="C56" s="468">
        <f>INPUT!C162</f>
        <v>0</v>
      </c>
      <c r="D56" s="468"/>
      <c r="E56" s="468">
        <f>INPUT!E162</f>
        <v>0</v>
      </c>
      <c r="F56" s="468"/>
      <c r="G56" s="468">
        <f>INPUT!G162</f>
        <v>0</v>
      </c>
      <c r="H56" s="468"/>
      <c r="I56" s="468" t="e">
        <f>INPUT!#REF!</f>
        <v>#REF!</v>
      </c>
      <c r="J56" s="468"/>
      <c r="K56" s="468">
        <f>INPUT!I162</f>
        <v>0</v>
      </c>
    </row>
    <row r="57" spans="1:11" x14ac:dyDescent="0.2">
      <c r="B57" s="468" t="str">
        <f>INPUT!B163</f>
        <v>Outcome Data CDFI Uses</v>
      </c>
      <c r="C57" s="468">
        <f>INPUT!C163</f>
        <v>0</v>
      </c>
      <c r="D57" s="468"/>
      <c r="E57" s="468">
        <f>INPUT!E163</f>
        <v>0</v>
      </c>
      <c r="F57" s="468"/>
      <c r="G57" s="468">
        <f>INPUT!G163</f>
        <v>0</v>
      </c>
      <c r="H57" s="468"/>
      <c r="I57" s="468" t="e">
        <f>INPUT!#REF!</f>
        <v>#REF!</v>
      </c>
      <c r="J57" s="468"/>
      <c r="K57" s="468">
        <f>INPUT!I163</f>
        <v>0</v>
      </c>
    </row>
    <row r="59" spans="1:11" ht="19.5" x14ac:dyDescent="0.25">
      <c r="A59" s="480" t="s">
        <v>441</v>
      </c>
    </row>
    <row r="61" spans="1:11" x14ac:dyDescent="0.2">
      <c r="A61" s="467" t="s">
        <v>608</v>
      </c>
      <c r="I61" s="711" t="s">
        <v>525</v>
      </c>
    </row>
    <row r="86" spans="1:15" ht="13.5" thickBot="1" x14ac:dyDescent="0.25">
      <c r="B86" s="717"/>
      <c r="C86" s="477" t="str">
        <f>+C39</f>
        <v>FYE 2006</v>
      </c>
      <c r="D86" s="478"/>
      <c r="E86" s="477" t="str">
        <f t="shared" ref="E86:K86" si="0">+E39</f>
        <v>FYE 2007</v>
      </c>
      <c r="F86" s="477">
        <f t="shared" si="0"/>
        <v>0</v>
      </c>
      <c r="G86" s="477" t="str">
        <f t="shared" si="0"/>
        <v>FYE 2008</v>
      </c>
      <c r="H86" s="477">
        <f t="shared" si="0"/>
        <v>0</v>
      </c>
      <c r="I86" s="477" t="str">
        <f t="shared" si="0"/>
        <v>FYE 2009</v>
      </c>
      <c r="J86" s="477">
        <f t="shared" si="0"/>
        <v>0</v>
      </c>
      <c r="K86" s="477" t="str">
        <f t="shared" si="0"/>
        <v>FYE 2010</v>
      </c>
      <c r="M86" s="599" t="e">
        <f>INPUT!#REF!</f>
        <v>#REF!</v>
      </c>
    </row>
    <row r="87" spans="1:15" x14ac:dyDescent="0.2">
      <c r="B87" s="289" t="s">
        <v>14</v>
      </c>
      <c r="C87" s="718">
        <f>Sum!C8/1000</f>
        <v>1468</v>
      </c>
      <c r="D87" s="719"/>
      <c r="E87" s="718">
        <f>Sum!E8/1000</f>
        <v>1532</v>
      </c>
      <c r="F87" s="719"/>
      <c r="G87" s="718">
        <f>Sum!G8/1000</f>
        <v>1741</v>
      </c>
      <c r="H87" s="719"/>
      <c r="I87" s="718" t="e">
        <f>Sum!I8/1000</f>
        <v>#REF!</v>
      </c>
      <c r="J87" s="719"/>
      <c r="K87" s="718">
        <f>Sum!K8/1000</f>
        <v>1443.75</v>
      </c>
      <c r="L87" s="719"/>
      <c r="M87" s="718" t="e">
        <f>Sum!M8/1000</f>
        <v>#REF!</v>
      </c>
      <c r="N87" s="720"/>
      <c r="O87" s="720"/>
    </row>
    <row r="88" spans="1:15" x14ac:dyDescent="0.2">
      <c r="B88" s="289" t="s">
        <v>442</v>
      </c>
      <c r="C88" s="718">
        <f>Sum!C9/1000</f>
        <v>500</v>
      </c>
      <c r="D88" s="719"/>
      <c r="E88" s="718">
        <f>Sum!E9/1000</f>
        <v>800</v>
      </c>
      <c r="F88" s="719"/>
      <c r="G88" s="718">
        <f>Sum!G9/1000</f>
        <v>700</v>
      </c>
      <c r="H88" s="719"/>
      <c r="I88" s="718" t="e">
        <f>Sum!I9/1000</f>
        <v>#REF!</v>
      </c>
      <c r="J88" s="719"/>
      <c r="K88" s="718">
        <f>Sum!K9/1000</f>
        <v>1000</v>
      </c>
      <c r="L88" s="719"/>
      <c r="M88" s="718" t="e">
        <f>Sum!M9/1000</f>
        <v>#REF!</v>
      </c>
      <c r="N88" s="720"/>
      <c r="O88" s="720"/>
    </row>
    <row r="89" spans="1:15" x14ac:dyDescent="0.2">
      <c r="B89" s="289" t="s">
        <v>443</v>
      </c>
      <c r="C89" s="718">
        <f>Sum!C10/1000</f>
        <v>0</v>
      </c>
      <c r="D89" s="719"/>
      <c r="E89" s="718">
        <f>Sum!E10/1000</f>
        <v>0</v>
      </c>
      <c r="F89" s="719"/>
      <c r="G89" s="718">
        <f>Sum!G10/1000</f>
        <v>0</v>
      </c>
      <c r="H89" s="719"/>
      <c r="I89" s="718" t="e">
        <f>Sum!I10/1000</f>
        <v>#REF!</v>
      </c>
      <c r="J89" s="719"/>
      <c r="K89" s="718">
        <f>Sum!K10/1000</f>
        <v>0</v>
      </c>
      <c r="L89" s="719"/>
      <c r="M89" s="718" t="e">
        <f>Sum!M10/1000</f>
        <v>#REF!</v>
      </c>
      <c r="N89" s="720"/>
      <c r="O89" s="720"/>
    </row>
    <row r="90" spans="1:15" x14ac:dyDescent="0.2">
      <c r="B90" s="289" t="s">
        <v>31</v>
      </c>
      <c r="C90" s="718">
        <f>'Stmt Position'!C53/1000</f>
        <v>3003</v>
      </c>
      <c r="D90" s="719"/>
      <c r="E90" s="718">
        <f>'Stmt Position'!E53/1000</f>
        <v>3620</v>
      </c>
      <c r="F90" s="719"/>
      <c r="G90" s="718">
        <f>'Stmt Position'!G53/1000</f>
        <v>4390</v>
      </c>
      <c r="H90" s="719"/>
      <c r="I90" s="718" t="e">
        <f>'Stmt Position'!#REF!/1000</f>
        <v>#REF!</v>
      </c>
      <c r="J90" s="719"/>
      <c r="K90" s="718">
        <f>'Stmt Position'!I53/1000</f>
        <v>5621</v>
      </c>
      <c r="L90" s="719"/>
      <c r="M90" s="718" t="e">
        <f>'Stmt Position'!K53/1000</f>
        <v>#REF!</v>
      </c>
      <c r="N90" s="720"/>
      <c r="O90" s="720"/>
    </row>
    <row r="93" spans="1:15" x14ac:dyDescent="0.2">
      <c r="A93" s="467" t="s">
        <v>609</v>
      </c>
    </row>
    <row r="94" spans="1:15" ht="15" customHeight="1" thickBot="1" x14ac:dyDescent="0.25">
      <c r="B94" s="721"/>
      <c r="C94" s="551">
        <f>INPUT!C$5</f>
        <v>40908</v>
      </c>
      <c r="D94" s="551"/>
      <c r="E94" s="551">
        <f>INPUT!E$5</f>
        <v>41274</v>
      </c>
      <c r="F94" s="551"/>
      <c r="G94" s="551">
        <f>INPUT!G$5</f>
        <v>41639</v>
      </c>
      <c r="H94" s="551"/>
      <c r="I94" s="551" t="e">
        <f>INPUT!#REF!</f>
        <v>#REF!</v>
      </c>
      <c r="J94" s="551"/>
      <c r="K94" s="551">
        <f>INPUT!I$5</f>
        <v>42004</v>
      </c>
      <c r="L94" s="551"/>
      <c r="M94" s="551" t="e">
        <f>INPUT!#REF!</f>
        <v>#REF!</v>
      </c>
    </row>
    <row r="95" spans="1:15" x14ac:dyDescent="0.2">
      <c r="B95" s="553" t="s">
        <v>444</v>
      </c>
      <c r="C95" s="584">
        <f>Sum!C13</f>
        <v>0.41034195162635528</v>
      </c>
      <c r="D95" s="584"/>
      <c r="E95" s="584">
        <f>Sum!E13</f>
        <v>0.40366972477064222</v>
      </c>
      <c r="F95" s="584"/>
      <c r="G95" s="584">
        <f>Sum!G13</f>
        <v>0.36673677884615385</v>
      </c>
      <c r="H95" s="584"/>
      <c r="I95" s="584" t="e">
        <f>Sum!I13</f>
        <v>#REF!</v>
      </c>
      <c r="J95" s="584"/>
      <c r="K95" s="584">
        <f>Sum!K13</f>
        <v>0.30301621252983663</v>
      </c>
      <c r="L95" s="762"/>
      <c r="M95" s="584" t="e">
        <f>Sum!M13</f>
        <v>#REF!</v>
      </c>
    </row>
    <row r="96" spans="1:15" x14ac:dyDescent="0.2">
      <c r="B96" s="558" t="s">
        <v>445</v>
      </c>
      <c r="C96" s="586">
        <f>Sum!C14</f>
        <v>0.30608840700583823</v>
      </c>
      <c r="D96" s="586"/>
      <c r="E96" s="586">
        <f>Sum!E14</f>
        <v>0.26518954474640816</v>
      </c>
      <c r="F96" s="586"/>
      <c r="G96" s="586">
        <f>Sum!G14</f>
        <v>0.26156850961538464</v>
      </c>
      <c r="H96" s="586"/>
      <c r="I96" s="586" t="e">
        <f>Sum!I14</f>
        <v>#REF!</v>
      </c>
      <c r="J96" s="586"/>
      <c r="K96" s="586">
        <f>Sum!K14</f>
        <v>0.17901980842555565</v>
      </c>
      <c r="L96" s="762"/>
      <c r="M96" s="586" t="e">
        <f>Sum!M14</f>
        <v>#REF!</v>
      </c>
    </row>
    <row r="97" spans="1:19" x14ac:dyDescent="0.2">
      <c r="B97" s="558" t="s">
        <v>554</v>
      </c>
      <c r="C97" s="586">
        <f>Sum!C27</f>
        <v>1.3973577235772359</v>
      </c>
      <c r="D97" s="586"/>
      <c r="E97" s="586">
        <f>Sum!E27</f>
        <v>1.3293310463121784</v>
      </c>
      <c r="F97" s="586"/>
      <c r="G97" s="586">
        <f>Sum!G27</f>
        <v>1.4338385907414994</v>
      </c>
      <c r="H97" s="586"/>
      <c r="I97" s="586" t="e">
        <f>Sum!I27</f>
        <v>#REF!</v>
      </c>
      <c r="J97" s="586"/>
      <c r="K97" s="586">
        <f>Sum!K27</f>
        <v>2.0971867007672635</v>
      </c>
      <c r="L97" s="762"/>
      <c r="M97" s="586" t="e">
        <f>Sum!M27</f>
        <v>#REF!</v>
      </c>
    </row>
    <row r="98" spans="1:19" ht="38.25" x14ac:dyDescent="0.2">
      <c r="B98" s="476" t="s">
        <v>446</v>
      </c>
      <c r="C98" s="586">
        <f>(Sum!C8+Sum!C87+Sum!C88)/Sum!C89</f>
        <v>0.71563636363636363</v>
      </c>
      <c r="D98" s="586"/>
      <c r="E98" s="586">
        <f>(Sum!E8+Sum!E87+Sum!E88)/Sum!E89</f>
        <v>0.75225806451612898</v>
      </c>
      <c r="F98" s="586"/>
      <c r="G98" s="586">
        <f>(Sum!G8+Sum!G87+Sum!G88)/Sum!G89</f>
        <v>0.97640000000000005</v>
      </c>
      <c r="H98" s="586"/>
      <c r="I98" s="586" t="e">
        <f>(Sum!I8+Sum!I87+Sum!I88)/Sum!I89</f>
        <v>#REF!</v>
      </c>
      <c r="J98" s="586"/>
      <c r="K98" s="586">
        <f>(Sum!K8+Sum!K87+Sum!K88)/Sum!K89</f>
        <v>0.61093750000000002</v>
      </c>
      <c r="L98" s="762"/>
      <c r="M98" s="586" t="e">
        <f>(Sum!M8+Sum!M87+Sum!M88)/Sum!M89</f>
        <v>#REF!</v>
      </c>
      <c r="O98" s="711" t="s">
        <v>447</v>
      </c>
    </row>
    <row r="99" spans="1:19" ht="38.25" x14ac:dyDescent="0.2">
      <c r="B99" s="476" t="s">
        <v>622</v>
      </c>
      <c r="C99" s="767">
        <f>(Sum!C8-'Stmt Position'!C14-'Stmt Position'!C23)/(Sum!C93)</f>
        <v>0.51211267605633803</v>
      </c>
      <c r="D99" s="586"/>
      <c r="E99" s="767">
        <f>(Sum!E8-'Stmt Position'!E14-'Stmt Position'!E23)/(Sum!E93)</f>
        <v>0.48938271604938272</v>
      </c>
      <c r="F99" s="586"/>
      <c r="G99" s="767">
        <f>(Sum!G8-'Stmt Position'!G14-'Stmt Position'!G23)/(Sum!G93)</f>
        <v>0.47507692307692306</v>
      </c>
      <c r="H99" s="586"/>
      <c r="I99" s="767" t="e">
        <f>(Sum!I8-'Stmt Position'!#REF!-'Stmt Position'!#REF!)/(Sum!I93)</f>
        <v>#REF!</v>
      </c>
      <c r="J99" s="586"/>
      <c r="K99" s="767">
        <f>(Sum!K8-'Stmt Position'!I14-'Stmt Position'!I23)/(Sum!K93)</f>
        <v>0.40671641791044777</v>
      </c>
      <c r="L99" s="762"/>
      <c r="M99" s="767" t="e">
        <f>(Sum!M8-'Stmt Position'!K14-'Stmt Position'!K23)/(Sum!M93)</f>
        <v>#REF!</v>
      </c>
    </row>
    <row r="100" spans="1:19" ht="25.5" x14ac:dyDescent="0.2">
      <c r="B100" s="476" t="s">
        <v>462</v>
      </c>
      <c r="C100" s="586">
        <f>(Sum!C20)/(Sum!C8+Sum!C87+Sum!C88+Sum!C89+Sum!C19)</f>
        <v>0.582874099194574</v>
      </c>
      <c r="D100" s="586"/>
      <c r="E100" s="586">
        <f>(Sum!E20)/(Sum!E8+Sum!E87+Sum!E88+Sum!E89+Sum!E19)</f>
        <v>0.57069219440353458</v>
      </c>
      <c r="F100" s="586"/>
      <c r="G100" s="586">
        <f>(Sum!G20)/(Sum!G8+Sum!G87+Sum!G88+Sum!G89+Sum!G19)</f>
        <v>0.70835863185589965</v>
      </c>
      <c r="H100" s="586"/>
      <c r="I100" s="586" t="e">
        <f>(Sum!I20)/(Sum!I8+Sum!I87+Sum!I88+Sum!I89+Sum!I19)</f>
        <v>#REF!</v>
      </c>
      <c r="J100" s="586"/>
      <c r="K100" s="586">
        <f>(Sum!K20)/(Sum!K8+Sum!K87+Sum!K88+Sum!K89+Sum!K19)</f>
        <v>0.79534432589718718</v>
      </c>
      <c r="L100" s="762"/>
      <c r="M100" s="586" t="e">
        <f>(Sum!M20)/(Sum!M8+Sum!M87+Sum!M88+Sum!M89+Sum!M19)</f>
        <v>#REF!</v>
      </c>
    </row>
    <row r="101" spans="1:19" x14ac:dyDescent="0.2">
      <c r="B101" s="789"/>
      <c r="C101" s="789"/>
      <c r="D101" s="789"/>
      <c r="E101" s="789"/>
      <c r="F101" s="789"/>
      <c r="G101" s="789"/>
      <c r="H101" s="789"/>
      <c r="I101" s="789"/>
      <c r="J101" s="789"/>
      <c r="K101" s="789"/>
    </row>
    <row r="104" spans="1:19" x14ac:dyDescent="0.2">
      <c r="A104" s="467" t="s">
        <v>610</v>
      </c>
    </row>
    <row r="105" spans="1:19" x14ac:dyDescent="0.2">
      <c r="B105" s="711" t="s">
        <v>448</v>
      </c>
      <c r="S105" s="625"/>
    </row>
    <row r="106" spans="1:19" x14ac:dyDescent="0.2">
      <c r="B106" s="711"/>
      <c r="S106" s="625"/>
    </row>
    <row r="108" spans="1:19" x14ac:dyDescent="0.2">
      <c r="C108" s="723"/>
      <c r="E108" s="443"/>
    </row>
    <row r="109" spans="1:19" x14ac:dyDescent="0.2">
      <c r="C109" s="723"/>
      <c r="E109" s="443"/>
    </row>
    <row r="110" spans="1:19" x14ac:dyDescent="0.2">
      <c r="A110" s="467" t="s">
        <v>531</v>
      </c>
    </row>
    <row r="111" spans="1:19" ht="51.75" thickBot="1" x14ac:dyDescent="0.25">
      <c r="B111" s="687" t="s">
        <v>456</v>
      </c>
      <c r="C111" s="688" t="s">
        <v>457</v>
      </c>
      <c r="D111" s="689"/>
      <c r="E111" s="688" t="s">
        <v>533</v>
      </c>
      <c r="F111" s="724"/>
      <c r="G111" s="688" t="s">
        <v>458</v>
      </c>
      <c r="H111" s="689"/>
      <c r="I111" s="688" t="s">
        <v>532</v>
      </c>
      <c r="J111" s="689"/>
      <c r="K111" s="688" t="s">
        <v>623</v>
      </c>
    </row>
    <row r="112" spans="1:19" x14ac:dyDescent="0.2">
      <c r="A112" s="725"/>
      <c r="B112" s="483" t="str">
        <f>+INPUT!B180</f>
        <v>Banks, Foundations, and Others</v>
      </c>
      <c r="C112" s="489">
        <f>INPUT!N180</f>
        <v>0</v>
      </c>
      <c r="D112" s="475"/>
      <c r="E112" s="544" t="e">
        <f>INPUT!#REF!</f>
        <v>#REF!</v>
      </c>
      <c r="F112" s="725"/>
      <c r="G112" s="541" t="e">
        <f>INPUT!#REF!/Sum!K20</f>
        <v>#REF!</v>
      </c>
      <c r="H112" s="475"/>
      <c r="I112" s="487" t="e">
        <f>INPUT!#REF!/INPUT!N180/1000</f>
        <v>#REF!</v>
      </c>
      <c r="J112" s="475"/>
      <c r="K112" s="488" t="e">
        <f>INPUT!L180/INPUT!#REF!</f>
        <v>#REF!</v>
      </c>
    </row>
    <row r="113" spans="1:13" x14ac:dyDescent="0.2">
      <c r="A113" s="725"/>
      <c r="B113" s="483" t="str">
        <f>+INPUT!B181</f>
        <v>Government</v>
      </c>
      <c r="C113" s="489">
        <f>INPUT!N181</f>
        <v>0</v>
      </c>
      <c r="D113" s="475"/>
      <c r="E113" s="544" t="e">
        <f>INPUT!#REF!</f>
        <v>#REF!</v>
      </c>
      <c r="F113" s="725"/>
      <c r="G113" s="541" t="e">
        <f>INPUT!#REF!/Sum!K20</f>
        <v>#REF!</v>
      </c>
      <c r="H113" s="475"/>
      <c r="I113" s="487" t="e">
        <f>INPUT!#REF!/INPUT!N181/1000</f>
        <v>#REF!</v>
      </c>
      <c r="J113" s="484"/>
      <c r="K113" s="488" t="e">
        <f>INPUT!L181/INPUT!#REF!</f>
        <v>#REF!</v>
      </c>
    </row>
    <row r="114" spans="1:13" x14ac:dyDescent="0.2">
      <c r="A114" s="725"/>
      <c r="B114" s="483" t="str">
        <f>+INPUT!B182</f>
        <v>Individuals</v>
      </c>
      <c r="C114" s="489">
        <f>INPUT!N182</f>
        <v>0</v>
      </c>
      <c r="D114" s="475"/>
      <c r="E114" s="544" t="e">
        <f>INPUT!#REF!</f>
        <v>#REF!</v>
      </c>
      <c r="F114" s="725"/>
      <c r="G114" s="541" t="e">
        <f>INPUT!#REF!/Sum!K20</f>
        <v>#REF!</v>
      </c>
      <c r="H114" s="475"/>
      <c r="I114" s="487" t="e">
        <f>INPUT!#REF!/INPUT!N182/1000</f>
        <v>#REF!</v>
      </c>
      <c r="J114" s="484"/>
      <c r="K114" s="488" t="e">
        <f>INPUT!L182/INPUT!#REF!</f>
        <v>#REF!</v>
      </c>
    </row>
    <row r="115" spans="1:13" x14ac:dyDescent="0.2">
      <c r="B115" s="658" t="str">
        <f>+INPUT!B183</f>
        <v>Faith-Based Organizations</v>
      </c>
      <c r="C115" s="653">
        <f>INPUT!N183</f>
        <v>0</v>
      </c>
      <c r="D115" s="659"/>
      <c r="E115" s="654" t="e">
        <f>INPUT!#REF!</f>
        <v>#REF!</v>
      </c>
      <c r="G115" s="655" t="e">
        <f>INPUT!#REF!/Sum!K20</f>
        <v>#REF!</v>
      </c>
      <c r="H115" s="659"/>
      <c r="I115" s="656" t="e">
        <f>INPUT!#REF!/INPUT!N183/1000</f>
        <v>#REF!</v>
      </c>
      <c r="J115" s="649"/>
      <c r="K115" s="657" t="e">
        <f>INPUT!L183/INPUT!#REF!</f>
        <v>#REF!</v>
      </c>
      <c r="M115" s="711" t="s">
        <v>534</v>
      </c>
    </row>
    <row r="116" spans="1:13" ht="13.5" thickBot="1" x14ac:dyDescent="0.25">
      <c r="B116" s="490" t="str">
        <f>+INPUT!B184</f>
        <v>Other</v>
      </c>
      <c r="C116" s="491">
        <f>INPUT!N184</f>
        <v>0</v>
      </c>
      <c r="D116" s="492"/>
      <c r="E116" s="539" t="e">
        <f>INPUT!#REF!</f>
        <v>#REF!</v>
      </c>
      <c r="F116" s="726"/>
      <c r="G116" s="542" t="e">
        <f>INPUT!#REF!/Sum!K20</f>
        <v>#REF!</v>
      </c>
      <c r="H116" s="492"/>
      <c r="I116" s="493" t="e">
        <f>INPUT!#REF!/INPUT!N184/1000</f>
        <v>#REF!</v>
      </c>
      <c r="J116" s="494"/>
      <c r="K116" s="495" t="e">
        <f>INPUT!L184/INPUT!#REF!</f>
        <v>#REF!</v>
      </c>
      <c r="M116" s="711"/>
    </row>
    <row r="117" spans="1:13" ht="13.5" thickTop="1" x14ac:dyDescent="0.2">
      <c r="B117" s="496" t="s">
        <v>474</v>
      </c>
      <c r="C117" s="498">
        <f>SUM(C112:C115)</f>
        <v>0</v>
      </c>
      <c r="D117" s="498"/>
      <c r="E117" s="540" t="e">
        <f>SUM(E115)</f>
        <v>#REF!</v>
      </c>
      <c r="G117" s="543" t="e">
        <f>SUM(G112:G115)</f>
        <v>#REF!</v>
      </c>
      <c r="H117" s="496"/>
      <c r="I117" s="545" t="e">
        <f>E117/C117/1000</f>
        <v>#REF!</v>
      </c>
      <c r="J117" s="496"/>
      <c r="K117" s="635" t="e">
        <f>SUM(INPUT!P185:P186)/'Graphs NEW'!E117</f>
        <v>#REF!</v>
      </c>
    </row>
    <row r="118" spans="1:13" x14ac:dyDescent="0.2">
      <c r="A118" s="727"/>
      <c r="B118" s="782" t="s">
        <v>624</v>
      </c>
      <c r="C118" s="783"/>
      <c r="D118" s="783"/>
      <c r="E118" s="783"/>
    </row>
    <row r="120" spans="1:13" x14ac:dyDescent="0.2">
      <c r="B120" s="537"/>
      <c r="C120" s="537"/>
      <c r="D120" s="537"/>
      <c r="E120" s="636"/>
      <c r="F120" s="537"/>
      <c r="G120" s="637"/>
    </row>
    <row r="121" spans="1:13" x14ac:dyDescent="0.2">
      <c r="A121" s="626" t="s">
        <v>584</v>
      </c>
      <c r="B121" s="638"/>
      <c r="C121" s="638"/>
      <c r="D121" s="638"/>
      <c r="E121" s="639"/>
      <c r="F121" s="537"/>
      <c r="G121" s="637"/>
    </row>
    <row r="122" spans="1:13" ht="26.25" thickBot="1" x14ac:dyDescent="0.25">
      <c r="A122" s="728"/>
      <c r="B122" s="631" t="s">
        <v>568</v>
      </c>
      <c r="C122" s="630" t="s">
        <v>566</v>
      </c>
      <c r="D122" s="640"/>
      <c r="E122" s="630" t="s">
        <v>567</v>
      </c>
      <c r="F122" s="537"/>
      <c r="G122" s="637"/>
    </row>
    <row r="123" spans="1:13" x14ac:dyDescent="0.2">
      <c r="A123" s="728"/>
      <c r="B123" s="641" t="e">
        <f>+INPUT!#REF!</f>
        <v>#REF!</v>
      </c>
      <c r="C123" s="663">
        <f>+INPUT!I194</f>
        <v>0</v>
      </c>
      <c r="D123" s="642"/>
      <c r="E123" s="641">
        <f>+C123/Sum!$K$20</f>
        <v>0</v>
      </c>
      <c r="F123" s="537"/>
      <c r="G123" s="637"/>
    </row>
    <row r="124" spans="1:13" x14ac:dyDescent="0.2">
      <c r="A124" s="728"/>
      <c r="B124" s="641" t="e">
        <f>+INPUT!#REF!</f>
        <v>#REF!</v>
      </c>
      <c r="C124" s="663">
        <f>+INPUT!I195</f>
        <v>0</v>
      </c>
      <c r="D124" s="643"/>
      <c r="E124" s="641">
        <f>+C124/Sum!$K$20</f>
        <v>0</v>
      </c>
      <c r="F124" s="537"/>
      <c r="G124" s="637"/>
    </row>
    <row r="125" spans="1:13" x14ac:dyDescent="0.2">
      <c r="A125" s="728"/>
      <c r="B125" s="641" t="e">
        <f>+INPUT!#REF!</f>
        <v>#REF!</v>
      </c>
      <c r="C125" s="663">
        <f>+INPUT!I196</f>
        <v>0</v>
      </c>
      <c r="D125" s="643"/>
      <c r="E125" s="641">
        <f>+C125/Sum!$K$20</f>
        <v>0</v>
      </c>
      <c r="F125" s="537"/>
      <c r="G125" s="637"/>
    </row>
    <row r="126" spans="1:13" x14ac:dyDescent="0.2">
      <c r="A126" s="728"/>
      <c r="B126" s="641" t="e">
        <f>+INPUT!#REF!</f>
        <v>#REF!</v>
      </c>
      <c r="C126" s="663">
        <f>+INPUT!I197</f>
        <v>0</v>
      </c>
      <c r="D126" s="643"/>
      <c r="E126" s="641">
        <f>+C126/Sum!$K$20</f>
        <v>0</v>
      </c>
      <c r="F126" s="537"/>
      <c r="G126" s="637"/>
    </row>
    <row r="127" spans="1:13" ht="13.5" thickBot="1" x14ac:dyDescent="0.25">
      <c r="A127" s="728"/>
      <c r="B127" s="644" t="e">
        <f>+INPUT!#REF!</f>
        <v>#REF!</v>
      </c>
      <c r="C127" s="664">
        <f>+INPUT!I198</f>
        <v>0</v>
      </c>
      <c r="D127" s="645"/>
      <c r="E127" s="644">
        <f>+C127/Sum!$K$20</f>
        <v>0</v>
      </c>
      <c r="F127" s="537"/>
      <c r="G127" s="637"/>
    </row>
    <row r="128" spans="1:13" ht="27" customHeight="1" thickTop="1" x14ac:dyDescent="0.2">
      <c r="A128" s="728"/>
      <c r="B128" s="794" t="s">
        <v>569</v>
      </c>
      <c r="C128" s="794"/>
      <c r="D128" s="642"/>
      <c r="E128" s="641"/>
      <c r="F128" s="537"/>
      <c r="G128" s="637"/>
    </row>
    <row r="130" spans="1:11" x14ac:dyDescent="0.2">
      <c r="A130" s="467" t="s">
        <v>464</v>
      </c>
    </row>
    <row r="131" spans="1:11" ht="39" thickBot="1" x14ac:dyDescent="0.25">
      <c r="B131" s="790" t="s">
        <v>465</v>
      </c>
      <c r="C131" s="791"/>
      <c r="D131" s="690"/>
      <c r="E131" s="688" t="s">
        <v>466</v>
      </c>
      <c r="F131" s="690"/>
      <c r="G131" s="688" t="s">
        <v>458</v>
      </c>
      <c r="H131" s="688"/>
      <c r="I131" s="688" t="s">
        <v>600</v>
      </c>
      <c r="J131" s="688"/>
      <c r="K131" s="688" t="s">
        <v>585</v>
      </c>
    </row>
    <row r="132" spans="1:11" x14ac:dyDescent="0.2">
      <c r="B132" s="792" t="str">
        <f>+INPUT!B187</f>
        <v>Enter Investor Name</v>
      </c>
      <c r="C132" s="792"/>
      <c r="D132" s="709"/>
      <c r="E132" s="485" t="e">
        <f>INPUT!#REF!</f>
        <v>#REF!</v>
      </c>
      <c r="F132" s="471"/>
      <c r="G132" s="485" t="e">
        <f>E132/Sum!M20</f>
        <v>#REF!</v>
      </c>
      <c r="H132" s="485"/>
      <c r="I132" s="650">
        <f>+INPUT!L187</f>
        <v>0</v>
      </c>
      <c r="J132" s="485"/>
      <c r="K132" s="485"/>
    </row>
    <row r="133" spans="1:11" x14ac:dyDescent="0.2">
      <c r="B133" s="792" t="str">
        <f>+INPUT!B188</f>
        <v>Enter Investor Name</v>
      </c>
      <c r="C133" s="792"/>
      <c r="D133" s="486"/>
      <c r="E133" s="485" t="e">
        <f>INPUT!#REF!</f>
        <v>#REF!</v>
      </c>
      <c r="F133" s="468"/>
      <c r="G133" s="763" t="e">
        <f>E133/Sum!M20</f>
        <v>#REF!</v>
      </c>
      <c r="H133" s="485"/>
      <c r="I133" s="650">
        <f>+INPUT!L188</f>
        <v>0</v>
      </c>
      <c r="J133" s="485"/>
      <c r="K133" s="485"/>
    </row>
    <row r="134" spans="1:11" x14ac:dyDescent="0.2">
      <c r="B134" s="792" t="str">
        <f>+INPUT!B189</f>
        <v>Enter Investor Name</v>
      </c>
      <c r="C134" s="792"/>
      <c r="D134" s="486"/>
      <c r="E134" s="485" t="e">
        <f>INPUT!#REF!</f>
        <v>#REF!</v>
      </c>
      <c r="F134" s="468"/>
      <c r="G134" s="763" t="e">
        <f>E134/Sum!M20</f>
        <v>#REF!</v>
      </c>
      <c r="H134" s="485"/>
      <c r="I134" s="650">
        <f>+INPUT!L189</f>
        <v>0</v>
      </c>
      <c r="J134" s="485"/>
      <c r="K134" s="485"/>
    </row>
    <row r="135" spans="1:11" x14ac:dyDescent="0.2">
      <c r="B135" s="792" t="str">
        <f>+INPUT!B190</f>
        <v>Enter Investor Name</v>
      </c>
      <c r="C135" s="792"/>
      <c r="D135" s="647"/>
      <c r="E135" s="485" t="e">
        <f>INPUT!#REF!</f>
        <v>#REF!</v>
      </c>
      <c r="F135" s="649"/>
      <c r="G135" s="763" t="e">
        <f>E135/Sum!M20</f>
        <v>#REF!</v>
      </c>
      <c r="H135" s="648"/>
      <c r="I135" s="650">
        <f>+INPUT!L190</f>
        <v>0</v>
      </c>
      <c r="J135" s="648"/>
      <c r="K135" s="648"/>
    </row>
    <row r="136" spans="1:11" ht="13.5" thickBot="1" x14ac:dyDescent="0.25">
      <c r="B136" s="795" t="str">
        <f>+INPUT!B191</f>
        <v>Enter Investor Name</v>
      </c>
      <c r="C136" s="795"/>
      <c r="D136" s="710"/>
      <c r="E136" s="505" t="e">
        <f>INPUT!#REF!</f>
        <v>#REF!</v>
      </c>
      <c r="F136" s="494"/>
      <c r="G136" s="764" t="e">
        <f>E136/Sum!M20</f>
        <v>#REF!</v>
      </c>
      <c r="H136" s="505"/>
      <c r="I136" s="651">
        <f>+INPUT!L191</f>
        <v>0</v>
      </c>
      <c r="J136" s="505"/>
      <c r="K136" s="505"/>
    </row>
    <row r="137" spans="1:11" ht="13.5" thickTop="1" x14ac:dyDescent="0.2">
      <c r="B137" s="780" t="s">
        <v>453</v>
      </c>
      <c r="C137" s="781"/>
      <c r="D137" s="496"/>
      <c r="E137" s="497" t="e">
        <f>SUM(E132:E136)</f>
        <v>#REF!</v>
      </c>
      <c r="F137" s="496"/>
      <c r="G137" s="497" t="e">
        <f>SUM(G132:G136)</f>
        <v>#REF!</v>
      </c>
      <c r="H137" s="497"/>
      <c r="I137" s="497"/>
      <c r="J137" s="497"/>
      <c r="K137" s="497"/>
    </row>
    <row r="140" spans="1:11" ht="19.5" x14ac:dyDescent="0.25">
      <c r="A140" s="480" t="s">
        <v>98</v>
      </c>
    </row>
    <row r="142" spans="1:11" x14ac:dyDescent="0.2">
      <c r="A142" s="467" t="s">
        <v>602</v>
      </c>
    </row>
    <row r="166" spans="1:15" ht="13.5" thickBot="1" x14ac:dyDescent="0.25">
      <c r="C166" s="477" t="str">
        <f>+C39</f>
        <v>FYE 2006</v>
      </c>
      <c r="D166" s="478"/>
      <c r="E166" s="477" t="str">
        <f t="shared" ref="E166:K166" si="1">+E39</f>
        <v>FYE 2007</v>
      </c>
      <c r="F166" s="477">
        <f t="shared" si="1"/>
        <v>0</v>
      </c>
      <c r="G166" s="477" t="str">
        <f t="shared" si="1"/>
        <v>FYE 2008</v>
      </c>
      <c r="H166" s="477">
        <f t="shared" si="1"/>
        <v>0</v>
      </c>
      <c r="I166" s="477" t="str">
        <f t="shared" si="1"/>
        <v>FYE 2009</v>
      </c>
      <c r="J166" s="477">
        <f t="shared" si="1"/>
        <v>0</v>
      </c>
      <c r="K166" s="477" t="str">
        <f t="shared" si="1"/>
        <v>FYE 2010</v>
      </c>
      <c r="M166" s="477" t="e">
        <f>+M86</f>
        <v>#REF!</v>
      </c>
    </row>
    <row r="167" spans="1:15" x14ac:dyDescent="0.2">
      <c r="B167" s="286" t="s">
        <v>467</v>
      </c>
      <c r="C167" s="729">
        <f>'Stmt Position'!C15+'Stmt Position'!C24</f>
        <v>3200000</v>
      </c>
      <c r="E167" s="729">
        <f>'Stmt Position'!E15+'Stmt Position'!E24</f>
        <v>3600000</v>
      </c>
      <c r="G167" s="729">
        <f>'Stmt Position'!G15+'Stmt Position'!G24</f>
        <v>4300000</v>
      </c>
      <c r="I167" s="729" t="e">
        <f>'Stmt Position'!#REF!+'Stmt Position'!#REF!</f>
        <v>#REF!</v>
      </c>
      <c r="K167" s="729">
        <f>'Stmt Position'!I15+'Stmt Position'!I24</f>
        <v>4425000</v>
      </c>
      <c r="M167" s="729" t="e">
        <f>'Stmt Position'!K15+'Stmt Position'!K24</f>
        <v>#REF!</v>
      </c>
    </row>
    <row r="168" spans="1:15" x14ac:dyDescent="0.2">
      <c r="B168" s="286" t="s">
        <v>468</v>
      </c>
      <c r="C168" s="729">
        <f>'Stmt Position'!C7+'Stmt Position'!C8+'Stmt Position'!C9+'Stmt Position'!C21</f>
        <v>1275000</v>
      </c>
      <c r="E168" s="729">
        <f>'Stmt Position'!E7+'Stmt Position'!E8+'Stmt Position'!E9+'Stmt Position'!E21</f>
        <v>1825000</v>
      </c>
      <c r="G168" s="729">
        <f>'Stmt Position'!G7+'Stmt Position'!G8+'Stmt Position'!G9+'Stmt Position'!G21</f>
        <v>2002000</v>
      </c>
      <c r="I168" s="729" t="e">
        <f>'Stmt Position'!#REF!+'Stmt Position'!#REF!+'Stmt Position'!#REF!+'Stmt Position'!#REF!</f>
        <v>#REF!</v>
      </c>
      <c r="K168" s="729">
        <f>'Stmt Position'!I7+'Stmt Position'!I8+'Stmt Position'!I9+'Stmt Position'!I21</f>
        <v>3125750</v>
      </c>
      <c r="M168" s="729" t="e">
        <f>'Stmt Position'!K7+'Stmt Position'!K8+'Stmt Position'!K9+'Stmt Position'!K21</f>
        <v>#REF!</v>
      </c>
      <c r="O168" s="711" t="s">
        <v>471</v>
      </c>
    </row>
    <row r="169" spans="1:15" x14ac:dyDescent="0.2">
      <c r="B169" s="286" t="s">
        <v>469</v>
      </c>
      <c r="C169" s="729">
        <f>'Stmt Position'!C32-'Graphs NEW'!C167-'Graphs NEW'!C168-'Graphs NEW'!C170</f>
        <v>171000</v>
      </c>
      <c r="E169" s="729">
        <f>'Stmt Position'!E32-'Graphs NEW'!E167-'Graphs NEW'!E168-'Graphs NEW'!E170</f>
        <v>207000</v>
      </c>
      <c r="G169" s="729">
        <f>'Stmt Position'!G32-'Graphs NEW'!G167-'Graphs NEW'!G168-'Graphs NEW'!G170</f>
        <v>218000</v>
      </c>
      <c r="I169" s="729" t="e">
        <f>'Stmt Position'!#REF!-'Graphs NEW'!I167-'Graphs NEW'!I168-'Graphs NEW'!I170</f>
        <v>#REF!</v>
      </c>
      <c r="K169" s="729">
        <f>'Stmt Position'!I32-'Graphs NEW'!K167-'Graphs NEW'!K168-'Graphs NEW'!K170</f>
        <v>289000</v>
      </c>
      <c r="M169" s="729" t="e">
        <f>'Stmt Position'!K32-'Graphs NEW'!M167-'Graphs NEW'!M168-'Graphs NEW'!M170</f>
        <v>#REF!</v>
      </c>
    </row>
    <row r="170" spans="1:15" ht="15" x14ac:dyDescent="0.35">
      <c r="B170" s="286" t="s">
        <v>470</v>
      </c>
      <c r="C170" s="730">
        <f>'Stmt Position'!C28</f>
        <v>150000</v>
      </c>
      <c r="E170" s="730">
        <f>'Stmt Position'!E28</f>
        <v>145000</v>
      </c>
      <c r="G170" s="730">
        <f>'Stmt Position'!G28</f>
        <v>136000</v>
      </c>
      <c r="I170" s="730" t="e">
        <f>'Stmt Position'!#REF!</f>
        <v>#REF!</v>
      </c>
      <c r="K170" s="730">
        <f>'Stmt Position'!I28</f>
        <v>225000</v>
      </c>
      <c r="M170" s="730" t="e">
        <f>'Stmt Position'!K28</f>
        <v>#REF!</v>
      </c>
    </row>
    <row r="171" spans="1:15" x14ac:dyDescent="0.2">
      <c r="B171" s="286" t="s">
        <v>453</v>
      </c>
      <c r="C171" s="720">
        <f>SUM(C167:C170)</f>
        <v>4796000</v>
      </c>
      <c r="E171" s="720">
        <f>SUM(E167:E170)</f>
        <v>5777000</v>
      </c>
      <c r="G171" s="720">
        <f>SUM(G167:G170)</f>
        <v>6656000</v>
      </c>
      <c r="I171" s="720" t="e">
        <f>SUM(I167:I170)</f>
        <v>#REF!</v>
      </c>
      <c r="K171" s="720">
        <f>SUM(K167:K170)</f>
        <v>8064750</v>
      </c>
      <c r="M171" s="720" t="e">
        <f>SUM(M167:M170)</f>
        <v>#REF!</v>
      </c>
    </row>
    <row r="174" spans="1:15" x14ac:dyDescent="0.2">
      <c r="A174" s="467" t="s">
        <v>472</v>
      </c>
    </row>
    <row r="175" spans="1:15" x14ac:dyDescent="0.2">
      <c r="B175" s="711" t="s">
        <v>449</v>
      </c>
    </row>
    <row r="179" spans="1:13" x14ac:dyDescent="0.2">
      <c r="A179" s="467" t="s">
        <v>611</v>
      </c>
      <c r="G179" s="711" t="s">
        <v>524</v>
      </c>
    </row>
    <row r="180" spans="1:13" x14ac:dyDescent="0.2">
      <c r="A180" s="728"/>
      <c r="B180" s="728"/>
      <c r="C180" s="728"/>
      <c r="D180" s="728"/>
      <c r="E180" s="728"/>
      <c r="F180" s="728"/>
      <c r="G180" s="728"/>
      <c r="H180" s="728"/>
      <c r="I180" s="728"/>
      <c r="J180" s="728"/>
      <c r="K180" s="728"/>
      <c r="L180" s="728"/>
      <c r="M180" s="728"/>
    </row>
    <row r="181" spans="1:13" x14ac:dyDescent="0.2">
      <c r="A181" s="728"/>
      <c r="B181" s="728"/>
      <c r="C181" s="728"/>
      <c r="D181" s="728"/>
      <c r="E181" s="728"/>
      <c r="F181" s="728"/>
      <c r="G181" s="728"/>
      <c r="H181" s="728"/>
      <c r="I181" s="728"/>
      <c r="J181" s="728"/>
      <c r="K181" s="728"/>
      <c r="L181" s="728"/>
      <c r="M181" s="728"/>
    </row>
    <row r="182" spans="1:13" x14ac:dyDescent="0.2">
      <c r="A182" s="728"/>
      <c r="B182" s="728"/>
      <c r="C182" s="728"/>
      <c r="D182" s="728"/>
      <c r="E182" s="728"/>
      <c r="F182" s="728"/>
      <c r="G182" s="728"/>
      <c r="H182" s="728"/>
      <c r="I182" s="728"/>
      <c r="J182" s="728"/>
      <c r="K182" s="728"/>
      <c r="L182" s="728"/>
      <c r="M182" s="728"/>
    </row>
    <row r="183" spans="1:13" x14ac:dyDescent="0.2">
      <c r="A183" s="728"/>
      <c r="B183" s="728"/>
      <c r="C183" s="728"/>
      <c r="D183" s="728"/>
      <c r="E183" s="728"/>
      <c r="F183" s="728"/>
      <c r="G183" s="728"/>
      <c r="H183" s="728"/>
      <c r="I183" s="728"/>
      <c r="J183" s="728"/>
      <c r="K183" s="728"/>
      <c r="L183" s="728"/>
      <c r="M183" s="728"/>
    </row>
    <row r="184" spans="1:13" x14ac:dyDescent="0.2">
      <c r="A184" s="728"/>
      <c r="B184" s="728"/>
      <c r="C184" s="728"/>
      <c r="D184" s="728"/>
      <c r="E184" s="728"/>
      <c r="F184" s="728"/>
      <c r="G184" s="728"/>
      <c r="H184" s="728"/>
      <c r="I184" s="728"/>
      <c r="J184" s="728"/>
      <c r="K184" s="728"/>
      <c r="L184" s="728"/>
      <c r="M184" s="728"/>
    </row>
    <row r="185" spans="1:13" x14ac:dyDescent="0.2">
      <c r="A185" s="728"/>
      <c r="B185" s="728"/>
      <c r="C185" s="728"/>
      <c r="D185" s="728"/>
      <c r="E185" s="728"/>
      <c r="F185" s="728"/>
      <c r="G185" s="728"/>
      <c r="H185" s="728"/>
      <c r="I185" s="728"/>
      <c r="J185" s="728"/>
      <c r="K185" s="728"/>
      <c r="L185" s="728"/>
      <c r="M185" s="728"/>
    </row>
    <row r="186" spans="1:13" x14ac:dyDescent="0.2">
      <c r="A186" s="728"/>
      <c r="B186" s="728"/>
      <c r="C186" s="728"/>
      <c r="D186" s="728"/>
      <c r="E186" s="728"/>
      <c r="F186" s="728"/>
      <c r="G186" s="728"/>
      <c r="H186" s="728"/>
      <c r="I186" s="728"/>
      <c r="J186" s="728"/>
      <c r="K186" s="728"/>
      <c r="L186" s="728"/>
      <c r="M186" s="728"/>
    </row>
    <row r="187" spans="1:13" x14ac:dyDescent="0.2">
      <c r="A187" s="728"/>
      <c r="B187" s="728"/>
      <c r="C187" s="728"/>
      <c r="D187" s="728"/>
      <c r="E187" s="728"/>
      <c r="F187" s="728"/>
      <c r="G187" s="728"/>
      <c r="H187" s="728"/>
      <c r="I187" s="728"/>
      <c r="J187" s="728"/>
      <c r="K187" s="728"/>
      <c r="L187" s="728"/>
      <c r="M187" s="728"/>
    </row>
    <row r="188" spans="1:13" x14ac:dyDescent="0.2">
      <c r="A188" s="728"/>
      <c r="B188" s="728"/>
      <c r="C188" s="728"/>
      <c r="D188" s="728"/>
      <c r="E188" s="728"/>
      <c r="F188" s="728"/>
      <c r="G188" s="728"/>
      <c r="H188" s="728"/>
      <c r="I188" s="728"/>
      <c r="J188" s="728"/>
      <c r="K188" s="728"/>
      <c r="L188" s="728"/>
      <c r="M188" s="728"/>
    </row>
    <row r="189" spans="1:13" x14ac:dyDescent="0.2">
      <c r="A189" s="728"/>
      <c r="B189" s="728"/>
      <c r="C189" s="728"/>
      <c r="D189" s="728"/>
      <c r="E189" s="728"/>
      <c r="F189" s="728"/>
      <c r="G189" s="728"/>
      <c r="H189" s="728"/>
      <c r="I189" s="728"/>
      <c r="J189" s="728"/>
      <c r="K189" s="728"/>
      <c r="L189" s="728"/>
      <c r="M189" s="728"/>
    </row>
    <row r="190" spans="1:13" x14ac:dyDescent="0.2">
      <c r="A190" s="728"/>
      <c r="B190" s="728"/>
      <c r="C190" s="728"/>
      <c r="D190" s="728"/>
      <c r="E190" s="728"/>
      <c r="F190" s="728"/>
      <c r="G190" s="728"/>
      <c r="H190" s="728"/>
      <c r="I190" s="728"/>
      <c r="J190" s="728"/>
      <c r="K190" s="728"/>
      <c r="L190" s="728"/>
      <c r="M190" s="728"/>
    </row>
    <row r="191" spans="1:13" x14ac:dyDescent="0.2">
      <c r="A191" s="728"/>
      <c r="B191" s="728"/>
      <c r="C191" s="728"/>
      <c r="D191" s="728"/>
      <c r="E191" s="728"/>
      <c r="F191" s="728"/>
      <c r="G191" s="728"/>
      <c r="H191" s="728"/>
      <c r="I191" s="728"/>
      <c r="J191" s="728"/>
      <c r="K191" s="728"/>
      <c r="L191" s="728"/>
      <c r="M191" s="728"/>
    </row>
    <row r="192" spans="1:13" x14ac:dyDescent="0.2">
      <c r="A192" s="728"/>
      <c r="B192" s="728"/>
      <c r="C192" s="728"/>
      <c r="D192" s="728"/>
      <c r="E192" s="728"/>
      <c r="F192" s="728"/>
      <c r="G192" s="728"/>
      <c r="H192" s="728"/>
      <c r="I192" s="728"/>
      <c r="J192" s="728"/>
      <c r="K192" s="728"/>
      <c r="L192" s="728"/>
      <c r="M192" s="728"/>
    </row>
    <row r="193" spans="1:13" x14ac:dyDescent="0.2">
      <c r="A193" s="728"/>
      <c r="B193" s="728"/>
      <c r="C193" s="728"/>
      <c r="D193" s="728"/>
      <c r="E193" s="728"/>
      <c r="F193" s="728"/>
      <c r="G193" s="728"/>
      <c r="H193" s="728"/>
      <c r="I193" s="728"/>
      <c r="J193" s="728"/>
      <c r="K193" s="728"/>
      <c r="L193" s="728"/>
      <c r="M193" s="728"/>
    </row>
    <row r="194" spans="1:13" x14ac:dyDescent="0.2">
      <c r="A194" s="728"/>
      <c r="B194" s="728"/>
      <c r="C194" s="728"/>
      <c r="D194" s="728"/>
      <c r="E194" s="728"/>
      <c r="F194" s="728"/>
      <c r="G194" s="728"/>
      <c r="H194" s="728"/>
      <c r="I194" s="728"/>
      <c r="J194" s="728"/>
      <c r="K194" s="728"/>
      <c r="L194" s="728"/>
      <c r="M194" s="728"/>
    </row>
    <row r="195" spans="1:13" x14ac:dyDescent="0.2">
      <c r="A195" s="728"/>
      <c r="B195" s="728"/>
      <c r="C195" s="728"/>
      <c r="D195" s="728"/>
      <c r="E195" s="728"/>
      <c r="F195" s="728"/>
      <c r="G195" s="728"/>
      <c r="H195" s="728"/>
      <c r="I195" s="728"/>
      <c r="J195" s="728"/>
      <c r="K195" s="728"/>
      <c r="L195" s="728"/>
      <c r="M195" s="728"/>
    </row>
    <row r="196" spans="1:13" x14ac:dyDescent="0.2">
      <c r="A196" s="728"/>
      <c r="B196" s="728"/>
      <c r="C196" s="728"/>
      <c r="D196" s="728"/>
      <c r="E196" s="728"/>
      <c r="F196" s="728"/>
      <c r="G196" s="728"/>
      <c r="H196" s="728"/>
      <c r="I196" s="728"/>
      <c r="J196" s="728"/>
      <c r="K196" s="728"/>
      <c r="L196" s="728"/>
      <c r="M196" s="728"/>
    </row>
    <row r="197" spans="1:13" x14ac:dyDescent="0.2">
      <c r="A197" s="728"/>
      <c r="B197" s="728"/>
      <c r="C197" s="728"/>
      <c r="D197" s="728"/>
      <c r="E197" s="728"/>
      <c r="F197" s="728"/>
      <c r="G197" s="728"/>
      <c r="H197" s="728"/>
      <c r="I197" s="728"/>
      <c r="J197" s="728"/>
      <c r="K197" s="728"/>
      <c r="L197" s="728"/>
      <c r="M197" s="728"/>
    </row>
    <row r="198" spans="1:13" x14ac:dyDescent="0.2">
      <c r="A198" s="728"/>
      <c r="B198" s="728"/>
      <c r="C198" s="728"/>
      <c r="D198" s="728"/>
      <c r="E198" s="728"/>
      <c r="F198" s="728"/>
      <c r="G198" s="728"/>
      <c r="H198" s="728"/>
      <c r="I198" s="728"/>
      <c r="J198" s="728"/>
      <c r="K198" s="728"/>
      <c r="L198" s="728"/>
      <c r="M198" s="728"/>
    </row>
    <row r="199" spans="1:13" x14ac:dyDescent="0.2">
      <c r="A199" s="728"/>
      <c r="B199" s="728"/>
      <c r="C199" s="728"/>
      <c r="D199" s="728"/>
      <c r="E199" s="728"/>
      <c r="F199" s="728"/>
      <c r="G199" s="728"/>
      <c r="H199" s="728"/>
      <c r="I199" s="728"/>
      <c r="J199" s="728"/>
      <c r="K199" s="728"/>
      <c r="L199" s="728"/>
      <c r="M199" s="728"/>
    </row>
    <row r="200" spans="1:13" x14ac:dyDescent="0.2">
      <c r="A200" s="728"/>
      <c r="B200" s="728"/>
      <c r="C200" s="728"/>
      <c r="D200" s="728"/>
      <c r="E200" s="728"/>
      <c r="F200" s="728"/>
      <c r="G200" s="728"/>
      <c r="H200" s="728"/>
      <c r="I200" s="728"/>
      <c r="J200" s="728"/>
      <c r="K200" s="728"/>
      <c r="L200" s="728"/>
      <c r="M200" s="728"/>
    </row>
    <row r="201" spans="1:13" x14ac:dyDescent="0.2">
      <c r="A201" s="728"/>
      <c r="B201" s="728"/>
      <c r="C201" s="728"/>
      <c r="D201" s="728"/>
      <c r="E201" s="728"/>
      <c r="F201" s="728"/>
      <c r="G201" s="728"/>
      <c r="H201" s="728"/>
      <c r="I201" s="728"/>
      <c r="J201" s="728"/>
      <c r="K201" s="728"/>
      <c r="L201" s="728"/>
      <c r="M201" s="728"/>
    </row>
    <row r="202" spans="1:13" x14ac:dyDescent="0.2">
      <c r="B202" s="712"/>
      <c r="C202" s="793" t="s">
        <v>523</v>
      </c>
      <c r="D202" s="793"/>
      <c r="E202" s="793"/>
      <c r="F202" s="793"/>
      <c r="G202" s="793"/>
      <c r="H202" s="793"/>
      <c r="I202" s="793"/>
      <c r="J202" s="793"/>
      <c r="K202" s="793"/>
    </row>
    <row r="203" spans="1:13" ht="13.5" thickBot="1" x14ac:dyDescent="0.25">
      <c r="C203" s="477" t="str">
        <f>+C166</f>
        <v>FYE 2006</v>
      </c>
      <c r="D203" s="478"/>
      <c r="E203" s="477" t="str">
        <f t="shared" ref="E203:M203" si="2">+E166</f>
        <v>FYE 2007</v>
      </c>
      <c r="F203" s="477">
        <f t="shared" si="2"/>
        <v>0</v>
      </c>
      <c r="G203" s="477" t="str">
        <f t="shared" si="2"/>
        <v>FYE 2008</v>
      </c>
      <c r="H203" s="477">
        <f t="shared" si="2"/>
        <v>0</v>
      </c>
      <c r="I203" s="477" t="str">
        <f t="shared" si="2"/>
        <v>FYE 2009</v>
      </c>
      <c r="J203" s="477">
        <f t="shared" si="2"/>
        <v>0</v>
      </c>
      <c r="K203" s="477" t="str">
        <f t="shared" si="2"/>
        <v>FYE 2010</v>
      </c>
      <c r="L203" s="477">
        <f t="shared" si="2"/>
        <v>0</v>
      </c>
      <c r="M203" s="477" t="e">
        <f t="shared" si="2"/>
        <v>#REF!</v>
      </c>
    </row>
    <row r="204" spans="1:13" x14ac:dyDescent="0.2">
      <c r="B204" s="712" t="str">
        <f>INPUT!B208</f>
        <v>Affordable Housing</v>
      </c>
      <c r="C204" s="731">
        <f>+INPUT!C208</f>
        <v>0</v>
      </c>
      <c r="D204" s="712"/>
      <c r="E204" s="731">
        <f>+INPUT!E208</f>
        <v>0</v>
      </c>
      <c r="F204" s="712"/>
      <c r="G204" s="731">
        <f>+INPUT!G208</f>
        <v>0</v>
      </c>
      <c r="H204" s="712"/>
      <c r="I204" s="731" t="e">
        <f>+INPUT!#REF!</f>
        <v>#REF!</v>
      </c>
      <c r="J204" s="712"/>
      <c r="K204" s="731">
        <f>+INPUT!I208</f>
        <v>0</v>
      </c>
      <c r="M204" s="731" t="e">
        <f>+INPUT!#REF!</f>
        <v>#REF!</v>
      </c>
    </row>
    <row r="205" spans="1:13" x14ac:dyDescent="0.2">
      <c r="B205" s="712" t="str">
        <f>INPUT!B209</f>
        <v>Small Business</v>
      </c>
      <c r="C205" s="731">
        <f>+INPUT!C209</f>
        <v>0</v>
      </c>
      <c r="D205" s="712"/>
      <c r="E205" s="731">
        <f>+INPUT!E209</f>
        <v>0</v>
      </c>
      <c r="F205" s="712"/>
      <c r="G205" s="731">
        <f>+INPUT!G209</f>
        <v>0</v>
      </c>
      <c r="H205" s="712"/>
      <c r="I205" s="731" t="e">
        <f>+INPUT!#REF!</f>
        <v>#REF!</v>
      </c>
      <c r="J205" s="712"/>
      <c r="K205" s="731">
        <f>+INPUT!I209</f>
        <v>0</v>
      </c>
      <c r="M205" s="731" t="e">
        <f>+INPUT!#REF!</f>
        <v>#REF!</v>
      </c>
    </row>
    <row r="206" spans="1:13" x14ac:dyDescent="0.2">
      <c r="B206" s="712" t="str">
        <f>INPUT!B210</f>
        <v>Community Facilities</v>
      </c>
      <c r="C206" s="731">
        <f>+INPUT!C210</f>
        <v>0</v>
      </c>
      <c r="D206" s="712"/>
      <c r="E206" s="731">
        <f>+INPUT!E210</f>
        <v>0</v>
      </c>
      <c r="F206" s="712"/>
      <c r="G206" s="731">
        <f>+INPUT!G210</f>
        <v>0</v>
      </c>
      <c r="H206" s="712"/>
      <c r="I206" s="731" t="e">
        <f>+INPUT!#REF!</f>
        <v>#REF!</v>
      </c>
      <c r="J206" s="712"/>
      <c r="K206" s="731">
        <f>+INPUT!I210</f>
        <v>0</v>
      </c>
      <c r="M206" s="731" t="e">
        <f>+INPUT!#REF!</f>
        <v>#REF!</v>
      </c>
    </row>
    <row r="207" spans="1:13" x14ac:dyDescent="0.2">
      <c r="B207" s="712" t="str">
        <f>INPUT!B211</f>
        <v>Education</v>
      </c>
      <c r="C207" s="731">
        <f>+INPUT!C211</f>
        <v>0</v>
      </c>
      <c r="D207" s="712"/>
      <c r="E207" s="731">
        <f>+INPUT!E211</f>
        <v>0</v>
      </c>
      <c r="F207" s="712"/>
      <c r="G207" s="731">
        <f>+INPUT!G211</f>
        <v>0</v>
      </c>
      <c r="H207" s="712"/>
      <c r="I207" s="731" t="e">
        <f>+INPUT!#REF!</f>
        <v>#REF!</v>
      </c>
      <c r="J207" s="712"/>
      <c r="K207" s="731">
        <f>+INPUT!I211</f>
        <v>0</v>
      </c>
      <c r="M207" s="731" t="e">
        <f>+INPUT!#REF!</f>
        <v>#REF!</v>
      </c>
    </row>
    <row r="208" spans="1:13" x14ac:dyDescent="0.2">
      <c r="B208" s="712" t="str">
        <f>INPUT!B212</f>
        <v>Consumer</v>
      </c>
      <c r="C208" s="731">
        <f>+INPUT!C212</f>
        <v>0</v>
      </c>
      <c r="D208" s="712"/>
      <c r="E208" s="731">
        <f>+INPUT!E212</f>
        <v>0</v>
      </c>
      <c r="F208" s="712"/>
      <c r="G208" s="731">
        <f>+INPUT!G212</f>
        <v>0</v>
      </c>
      <c r="H208" s="712"/>
      <c r="I208" s="731" t="e">
        <f>+INPUT!#REF!</f>
        <v>#REF!</v>
      </c>
      <c r="J208" s="712"/>
      <c r="K208" s="731">
        <f>+INPUT!I212</f>
        <v>0</v>
      </c>
      <c r="M208" s="731" t="e">
        <f>+INPUT!#REF!</f>
        <v>#REF!</v>
      </c>
    </row>
    <row r="209" spans="1:13" ht="15" x14ac:dyDescent="0.35">
      <c r="B209" s="712" t="str">
        <f>INPUT!B213</f>
        <v>Child Care</v>
      </c>
      <c r="C209" s="732">
        <f>+INPUT!C213</f>
        <v>0</v>
      </c>
      <c r="D209" s="733"/>
      <c r="E209" s="732">
        <f>+INPUT!E213</f>
        <v>0</v>
      </c>
      <c r="F209" s="733"/>
      <c r="G209" s="732">
        <f>+INPUT!G213</f>
        <v>0</v>
      </c>
      <c r="H209" s="733"/>
      <c r="I209" s="732" t="e">
        <f>+INPUT!#REF!</f>
        <v>#REF!</v>
      </c>
      <c r="J209" s="733"/>
      <c r="K209" s="732">
        <f>+INPUT!I213</f>
        <v>0</v>
      </c>
      <c r="L209" s="734"/>
      <c r="M209" s="732" t="e">
        <f>+INPUT!#REF!</f>
        <v>#REF!</v>
      </c>
    </row>
    <row r="210" spans="1:13" x14ac:dyDescent="0.2">
      <c r="C210" s="729">
        <f>SUM(C204:C209)</f>
        <v>0</v>
      </c>
      <c r="E210" s="729">
        <f>SUM(E204:E209)</f>
        <v>0</v>
      </c>
      <c r="G210" s="729">
        <f>SUM(G204:G209)</f>
        <v>0</v>
      </c>
      <c r="I210" s="729" t="e">
        <f>SUM(I204:I209)</f>
        <v>#REF!</v>
      </c>
      <c r="K210" s="729">
        <f>SUM(K204:K209)</f>
        <v>0</v>
      </c>
      <c r="M210" s="729" t="e">
        <f>SUM(M204:M209)</f>
        <v>#REF!</v>
      </c>
    </row>
    <row r="211" spans="1:13" x14ac:dyDescent="0.2">
      <c r="C211" s="723"/>
      <c r="E211" s="716"/>
    </row>
    <row r="212" spans="1:13" x14ac:dyDescent="0.2">
      <c r="C212" s="723"/>
      <c r="E212" s="716"/>
    </row>
    <row r="214" spans="1:13" x14ac:dyDescent="0.2">
      <c r="A214" s="467" t="s">
        <v>614</v>
      </c>
      <c r="E214" s="711" t="s">
        <v>497</v>
      </c>
    </row>
    <row r="215" spans="1:13" ht="51.75" thickBot="1" x14ac:dyDescent="0.25">
      <c r="B215" s="691" t="s">
        <v>473</v>
      </c>
      <c r="C215" s="688" t="s">
        <v>193</v>
      </c>
      <c r="D215" s="692"/>
      <c r="E215" s="688" t="s">
        <v>549</v>
      </c>
      <c r="F215" s="688"/>
      <c r="G215" s="688" t="s">
        <v>526</v>
      </c>
      <c r="H215" s="688"/>
      <c r="I215" s="688" t="s">
        <v>527</v>
      </c>
    </row>
    <row r="216" spans="1:13" x14ac:dyDescent="0.2">
      <c r="B216" s="709" t="str">
        <f>INPUT!B201</f>
        <v>Enter Type of Loan</v>
      </c>
      <c r="C216" s="530">
        <f>INPUT!L201</f>
        <v>0</v>
      </c>
      <c r="D216" s="471"/>
      <c r="E216" s="531" t="e">
        <f>INPUT!#REF!</f>
        <v>#REF!</v>
      </c>
      <c r="F216" s="471"/>
      <c r="G216" s="501" t="e">
        <f>E216/E$221</f>
        <v>#REF!</v>
      </c>
      <c r="H216" s="471"/>
      <c r="I216" s="532" t="e">
        <f>E216/C216</f>
        <v>#REF!</v>
      </c>
    </row>
    <row r="217" spans="1:13" x14ac:dyDescent="0.2">
      <c r="B217" s="486" t="str">
        <f>INPUT!B202</f>
        <v>Enter Type of Loan</v>
      </c>
      <c r="C217" s="527">
        <f>INPUT!L202</f>
        <v>0</v>
      </c>
      <c r="D217" s="468"/>
      <c r="E217" s="528" t="e">
        <f>INPUT!#REF!</f>
        <v>#REF!</v>
      </c>
      <c r="F217" s="468"/>
      <c r="G217" s="499" t="e">
        <f>E217/E$221</f>
        <v>#REF!</v>
      </c>
      <c r="H217" s="468"/>
      <c r="I217" s="529" t="e">
        <f>E217/C217</f>
        <v>#REF!</v>
      </c>
    </row>
    <row r="218" spans="1:13" x14ac:dyDescent="0.2">
      <c r="B218" s="486" t="str">
        <f>INPUT!B203</f>
        <v>Enter Type of Loan</v>
      </c>
      <c r="C218" s="527">
        <f>INPUT!L203</f>
        <v>0</v>
      </c>
      <c r="D218" s="468"/>
      <c r="E218" s="528" t="e">
        <f>INPUT!#REF!</f>
        <v>#REF!</v>
      </c>
      <c r="F218" s="468"/>
      <c r="G218" s="499" t="e">
        <f>E218/E$221</f>
        <v>#REF!</v>
      </c>
      <c r="H218" s="468"/>
      <c r="I218" s="529" t="e">
        <f>E218/C218</f>
        <v>#REF!</v>
      </c>
    </row>
    <row r="219" spans="1:13" x14ac:dyDescent="0.2">
      <c r="B219" s="486" t="str">
        <f>INPUT!B204</f>
        <v>Enter Type of Loan</v>
      </c>
      <c r="C219" s="527">
        <f>INPUT!L204</f>
        <v>0</v>
      </c>
      <c r="D219" s="468"/>
      <c r="E219" s="528" t="e">
        <f>INPUT!#REF!</f>
        <v>#REF!</v>
      </c>
      <c r="F219" s="468"/>
      <c r="G219" s="499" t="e">
        <f>E219/E$221</f>
        <v>#REF!</v>
      </c>
      <c r="H219" s="468"/>
      <c r="I219" s="529" t="e">
        <f>E219/C219</f>
        <v>#REF!</v>
      </c>
    </row>
    <row r="220" spans="1:13" ht="13.5" thickBot="1" x14ac:dyDescent="0.25">
      <c r="B220" s="710" t="str">
        <f>INPUT!B205</f>
        <v>Enter Type of Loan</v>
      </c>
      <c r="C220" s="533">
        <f>INPUT!L205</f>
        <v>0</v>
      </c>
      <c r="D220" s="494"/>
      <c r="E220" s="534" t="e">
        <f>INPUT!#REF!</f>
        <v>#REF!</v>
      </c>
      <c r="F220" s="494"/>
      <c r="G220" s="500" t="e">
        <f>E220/E$221</f>
        <v>#REF!</v>
      </c>
      <c r="H220" s="494"/>
      <c r="I220" s="535" t="e">
        <f>E220/C220</f>
        <v>#REF!</v>
      </c>
    </row>
    <row r="221" spans="1:13" ht="13.5" thickTop="1" x14ac:dyDescent="0.2">
      <c r="B221" s="546" t="s">
        <v>453</v>
      </c>
      <c r="C221" s="547">
        <f>SUM(C216:C220)</f>
        <v>0</v>
      </c>
      <c r="D221" s="546"/>
      <c r="E221" s="548" t="e">
        <f>SUM(E216:E220)</f>
        <v>#REF!</v>
      </c>
      <c r="F221" s="546"/>
      <c r="G221" s="549" t="e">
        <f>SUM(G216:G220)</f>
        <v>#REF!</v>
      </c>
      <c r="H221" s="546"/>
      <c r="I221" s="546"/>
    </row>
    <row r="222" spans="1:13" x14ac:dyDescent="0.2">
      <c r="C222" s="723"/>
      <c r="E222" s="716"/>
    </row>
    <row r="226" spans="1:22" ht="17.25" customHeight="1" x14ac:dyDescent="0.2">
      <c r="A226" s="467" t="s">
        <v>475</v>
      </c>
      <c r="I226" s="735" t="s">
        <v>530</v>
      </c>
    </row>
    <row r="227" spans="1:22" ht="16.5" customHeight="1" x14ac:dyDescent="0.2">
      <c r="A227" s="467"/>
      <c r="C227" s="784" t="s">
        <v>499</v>
      </c>
      <c r="D227" s="785"/>
      <c r="E227" s="785"/>
      <c r="F227" s="785"/>
      <c r="G227" s="785"/>
      <c r="H227" s="785"/>
      <c r="I227" s="786"/>
      <c r="J227" s="512"/>
      <c r="K227" s="513"/>
    </row>
    <row r="228" spans="1:22" ht="27" customHeight="1" thickBot="1" x14ac:dyDescent="0.25">
      <c r="B228" s="687" t="s">
        <v>476</v>
      </c>
      <c r="C228" s="688" t="s">
        <v>477</v>
      </c>
      <c r="D228" s="688"/>
      <c r="E228" s="688" t="s">
        <v>478</v>
      </c>
      <c r="F228" s="688"/>
      <c r="G228" s="688" t="s">
        <v>479</v>
      </c>
      <c r="H228" s="688"/>
      <c r="I228" s="688" t="s">
        <v>480</v>
      </c>
      <c r="J228" s="688"/>
      <c r="K228" s="688" t="s">
        <v>481</v>
      </c>
    </row>
    <row r="229" spans="1:22" ht="15" customHeight="1" x14ac:dyDescent="0.2">
      <c r="B229" s="596" t="str">
        <f>INPUT!B228</f>
        <v>First Position</v>
      </c>
      <c r="C229" s="589" t="e">
        <f>INPUT!L228/SUM(INPUT!L$228:L$231)</f>
        <v>#DIV/0!</v>
      </c>
      <c r="D229" s="589"/>
      <c r="E229" s="589" t="e">
        <f>INPUT!N228/SUM(INPUT!N$228:N$231)</f>
        <v>#DIV/0!</v>
      </c>
      <c r="F229" s="589"/>
      <c r="G229" s="589" t="e">
        <f>INPUT!P228/SUM(INPUT!P$228:P$231)</f>
        <v>#DIV/0!</v>
      </c>
      <c r="H229" s="589"/>
      <c r="I229" s="589" t="e">
        <f>INPUT!R228/SUM(INPUT!R$228:R$231)</f>
        <v>#DIV/0!</v>
      </c>
      <c r="J229" s="590"/>
      <c r="K229" s="589" t="e">
        <f>SUM(C229:I229)</f>
        <v>#DIV/0!</v>
      </c>
    </row>
    <row r="230" spans="1:22" ht="15" customHeight="1" x14ac:dyDescent="0.2">
      <c r="B230" s="596" t="str">
        <f>INPUT!B229</f>
        <v>First Position, Subordinated Payment</v>
      </c>
      <c r="C230" s="589" t="e">
        <f>INPUT!L229/SUM(INPUT!L$228:L$231)</f>
        <v>#DIV/0!</v>
      </c>
      <c r="D230" s="591"/>
      <c r="E230" s="589" t="e">
        <f>INPUT!N229/SUM(INPUT!N$228:N$231)</f>
        <v>#DIV/0!</v>
      </c>
      <c r="F230" s="591"/>
      <c r="G230" s="589" t="e">
        <f>INPUT!P229/SUM(INPUT!P$228:P$231)</f>
        <v>#DIV/0!</v>
      </c>
      <c r="H230" s="591"/>
      <c r="I230" s="589" t="e">
        <f>INPUT!R229/SUM(INPUT!R$228:R$231)</f>
        <v>#DIV/0!</v>
      </c>
      <c r="J230" s="592"/>
      <c r="K230" s="591" t="e">
        <f>SUM(C230:I230)</f>
        <v>#DIV/0!</v>
      </c>
    </row>
    <row r="231" spans="1:22" ht="15" customHeight="1" x14ac:dyDescent="0.2">
      <c r="B231" s="596" t="str">
        <f>INPUT!B230</f>
        <v>Subordinated</v>
      </c>
      <c r="C231" s="589" t="e">
        <f>INPUT!L230/SUM(INPUT!L$228:L$231)</f>
        <v>#DIV/0!</v>
      </c>
      <c r="D231" s="591"/>
      <c r="E231" s="589" t="e">
        <f>INPUT!N230/SUM(INPUT!N$228:N$231)</f>
        <v>#DIV/0!</v>
      </c>
      <c r="F231" s="591"/>
      <c r="G231" s="589" t="e">
        <f>INPUT!P230/SUM(INPUT!P$228:P$231)</f>
        <v>#DIV/0!</v>
      </c>
      <c r="H231" s="591"/>
      <c r="I231" s="589" t="e">
        <f>INPUT!R230/SUM(INPUT!R$228:R$231)</f>
        <v>#DIV/0!</v>
      </c>
      <c r="J231" s="592"/>
      <c r="K231" s="591" t="e">
        <f>SUM(C231:I231)</f>
        <v>#DIV/0!</v>
      </c>
    </row>
    <row r="232" spans="1:22" ht="18" customHeight="1" thickBot="1" x14ac:dyDescent="0.25">
      <c r="B232" s="598" t="str">
        <f>INPUT!B231</f>
        <v>Unsecured</v>
      </c>
      <c r="C232" s="593" t="e">
        <f>INPUT!L231/SUM(INPUT!L$228:L$231)</f>
        <v>#DIV/0!</v>
      </c>
      <c r="D232" s="593"/>
      <c r="E232" s="593" t="e">
        <f>INPUT!N231/SUM(INPUT!N$228:N$231)</f>
        <v>#DIV/0!</v>
      </c>
      <c r="F232" s="593"/>
      <c r="G232" s="593" t="e">
        <f>INPUT!P231/SUM(INPUT!P$228:P$231)</f>
        <v>#DIV/0!</v>
      </c>
      <c r="H232" s="593"/>
      <c r="I232" s="593" t="e">
        <f>INPUT!R231/SUM(INPUT!R$228:R$231)</f>
        <v>#DIV/0!</v>
      </c>
      <c r="J232" s="594"/>
      <c r="K232" s="593" t="e">
        <f>SUM(C232:I232)</f>
        <v>#DIV/0!</v>
      </c>
      <c r="O232" s="723">
        <f>SUM(INPUT!L228:L231)</f>
        <v>0</v>
      </c>
      <c r="P232" s="723"/>
      <c r="Q232" s="723">
        <f>SUM(INPUT!N228:N231)</f>
        <v>0</v>
      </c>
      <c r="R232" s="723"/>
      <c r="S232" s="723">
        <f>SUM(INPUT!P228:P231)</f>
        <v>0</v>
      </c>
      <c r="T232" s="723"/>
      <c r="U232" s="723">
        <f>SUM(INPUT!R228:R231)</f>
        <v>0</v>
      </c>
      <c r="V232" s="736">
        <f>SUM(O232:U232)</f>
        <v>0</v>
      </c>
    </row>
    <row r="233" spans="1:22" ht="13.5" thickTop="1" x14ac:dyDescent="0.2">
      <c r="B233" s="597" t="s">
        <v>453</v>
      </c>
      <c r="C233" s="595" t="e">
        <f>SUM(C229:C232)</f>
        <v>#DIV/0!</v>
      </c>
      <c r="D233" s="595"/>
      <c r="E233" s="595" t="e">
        <f>SUM(E229:E232)</f>
        <v>#DIV/0!</v>
      </c>
      <c r="F233" s="595"/>
      <c r="G233" s="595" t="e">
        <f>SUM(G229:G232)</f>
        <v>#DIV/0!</v>
      </c>
      <c r="H233" s="595"/>
      <c r="I233" s="595" t="e">
        <f>SUM(I229:I232)</f>
        <v>#DIV/0!</v>
      </c>
      <c r="J233" s="595"/>
      <c r="K233" s="595" t="e">
        <f>SUM(K229:K232)</f>
        <v>#DIV/0!</v>
      </c>
    </row>
    <row r="234" spans="1:22" x14ac:dyDescent="0.2">
      <c r="B234" s="537"/>
      <c r="C234" s="538"/>
      <c r="D234" s="538"/>
      <c r="E234" s="538"/>
      <c r="F234" s="538"/>
      <c r="G234" s="538"/>
      <c r="H234" s="538"/>
      <c r="I234" s="538"/>
      <c r="J234" s="538"/>
      <c r="K234" s="538"/>
    </row>
    <row r="236" spans="1:22" x14ac:dyDescent="0.2">
      <c r="A236" s="634" t="s">
        <v>508</v>
      </c>
    </row>
    <row r="237" spans="1:22" ht="18" customHeight="1" thickBot="1" x14ac:dyDescent="0.25">
      <c r="A237" s="712"/>
      <c r="B237" s="560" t="s">
        <v>501</v>
      </c>
      <c r="C237" s="551">
        <f>INPUT!C$5</f>
        <v>40908</v>
      </c>
      <c r="D237" s="551"/>
      <c r="E237" s="551">
        <f>INPUT!E$5</f>
        <v>41274</v>
      </c>
      <c r="F237" s="551"/>
      <c r="G237" s="551">
        <f>INPUT!G$5</f>
        <v>41639</v>
      </c>
      <c r="H237" s="551"/>
      <c r="I237" s="551" t="e">
        <f>INPUT!#REF!</f>
        <v>#REF!</v>
      </c>
      <c r="J237" s="551"/>
      <c r="K237" s="551">
        <f>INPUT!I$5</f>
        <v>42004</v>
      </c>
      <c r="L237" s="551"/>
      <c r="M237" s="551" t="e">
        <f>INPUT!#REF!</f>
        <v>#REF!</v>
      </c>
      <c r="O237" s="551" t="s">
        <v>587</v>
      </c>
    </row>
    <row r="238" spans="1:22" ht="12.95" customHeight="1" x14ac:dyDescent="0.2">
      <c r="A238" s="712"/>
      <c r="B238" s="525" t="s">
        <v>502</v>
      </c>
      <c r="C238" s="561">
        <f>INPUT!C125</f>
        <v>100000</v>
      </c>
      <c r="D238" s="552"/>
      <c r="E238" s="561">
        <f>INPUT!E125</f>
        <v>150000</v>
      </c>
      <c r="F238" s="552"/>
      <c r="G238" s="561">
        <f>INPUT!G125</f>
        <v>50000</v>
      </c>
      <c r="H238" s="552"/>
      <c r="I238" s="561" t="e">
        <f>INPUT!#REF!</f>
        <v>#REF!</v>
      </c>
      <c r="J238" s="552"/>
      <c r="K238" s="561">
        <f>INPUT!I125</f>
        <v>100000</v>
      </c>
      <c r="L238" s="722"/>
      <c r="M238" s="561" t="e">
        <f>INPUT!#REF!</f>
        <v>#REF!</v>
      </c>
      <c r="O238" s="561"/>
    </row>
    <row r="239" spans="1:22" ht="12.95" customHeight="1" x14ac:dyDescent="0.2">
      <c r="A239" s="712"/>
      <c r="B239" s="476" t="s">
        <v>503</v>
      </c>
      <c r="C239" s="562">
        <f>INPUT!C126</f>
        <v>50000</v>
      </c>
      <c r="D239" s="559"/>
      <c r="E239" s="562">
        <f>INPUT!E126</f>
        <v>0</v>
      </c>
      <c r="F239" s="559"/>
      <c r="G239" s="562">
        <f>INPUT!G126</f>
        <v>100000</v>
      </c>
      <c r="H239" s="559"/>
      <c r="I239" s="562" t="e">
        <f>INPUT!#REF!</f>
        <v>#REF!</v>
      </c>
      <c r="J239" s="559"/>
      <c r="K239" s="562">
        <f>INPUT!I126</f>
        <v>50000</v>
      </c>
      <c r="L239" s="722"/>
      <c r="M239" s="562" t="e">
        <f>INPUT!#REF!</f>
        <v>#REF!</v>
      </c>
      <c r="O239" s="562"/>
    </row>
    <row r="240" spans="1:22" ht="15" customHeight="1" x14ac:dyDescent="0.2">
      <c r="A240" s="712"/>
      <c r="B240" s="521" t="s">
        <v>504</v>
      </c>
      <c r="C240" s="563">
        <f>INPUT!C127</f>
        <v>25000</v>
      </c>
      <c r="D240" s="601"/>
      <c r="E240" s="563">
        <f>INPUT!E127</f>
        <v>75000</v>
      </c>
      <c r="F240" s="601"/>
      <c r="G240" s="563">
        <f>INPUT!G127</f>
        <v>5000</v>
      </c>
      <c r="H240" s="601"/>
      <c r="I240" s="563" t="e">
        <f>INPUT!#REF!</f>
        <v>#REF!</v>
      </c>
      <c r="J240" s="601"/>
      <c r="K240" s="563">
        <f>INPUT!I127</f>
        <v>65000</v>
      </c>
      <c r="L240" s="722"/>
      <c r="M240" s="563" t="e">
        <f>INPUT!#REF!</f>
        <v>#REF!</v>
      </c>
      <c r="O240" s="563"/>
    </row>
    <row r="241" spans="1:19" ht="15" customHeight="1" thickBot="1" x14ac:dyDescent="0.25">
      <c r="A241" s="712"/>
      <c r="B241" s="568" t="s">
        <v>509</v>
      </c>
      <c r="C241" s="571">
        <f>C240/Sum!C$49</f>
        <v>7.0422535211267607E-3</v>
      </c>
      <c r="D241" s="737"/>
      <c r="E241" s="571">
        <f>E240/Sum!E$49</f>
        <v>1.8518518518518517E-2</v>
      </c>
      <c r="F241" s="737"/>
      <c r="G241" s="571">
        <f>G240/Sum!G$49</f>
        <v>1.0256410256410256E-3</v>
      </c>
      <c r="H241" s="737"/>
      <c r="I241" s="571" t="e">
        <f>I240/Sum!I$49</f>
        <v>#REF!</v>
      </c>
      <c r="J241" s="737"/>
      <c r="K241" s="571">
        <f>K240/Sum!K$49</f>
        <v>1.2935323383084577E-2</v>
      </c>
      <c r="L241" s="738"/>
      <c r="M241" s="571" t="e">
        <f>M240/Sum!M$49</f>
        <v>#REF!</v>
      </c>
      <c r="O241" s="571">
        <f>O240/Sum!O$49</f>
        <v>0</v>
      </c>
    </row>
    <row r="242" spans="1:19" ht="15" customHeight="1" thickTop="1" x14ac:dyDescent="0.2">
      <c r="A242" s="712"/>
      <c r="B242" s="522" t="s">
        <v>505</v>
      </c>
      <c r="C242" s="564">
        <f>SUM(C238:C240)</f>
        <v>175000</v>
      </c>
      <c r="D242" s="739"/>
      <c r="E242" s="564">
        <f>SUM(E238:E240)</f>
        <v>225000</v>
      </c>
      <c r="F242" s="739"/>
      <c r="G242" s="564">
        <f>SUM(G238:G240)</f>
        <v>155000</v>
      </c>
      <c r="H242" s="739"/>
      <c r="I242" s="564" t="e">
        <f>SUM(I238:I240)</f>
        <v>#REF!</v>
      </c>
      <c r="J242" s="739"/>
      <c r="K242" s="564">
        <f>SUM(K238:K240)</f>
        <v>215000</v>
      </c>
      <c r="L242" s="722"/>
      <c r="M242" s="564" t="e">
        <f>SUM(M238:M240)</f>
        <v>#REF!</v>
      </c>
      <c r="O242" s="564">
        <f>SUM(O238:O240)</f>
        <v>0</v>
      </c>
    </row>
    <row r="243" spans="1:19" ht="15" customHeight="1" x14ac:dyDescent="0.2">
      <c r="A243" s="712"/>
      <c r="B243" s="569" t="s">
        <v>509</v>
      </c>
      <c r="C243" s="572">
        <f>C242/Sum!C$49</f>
        <v>4.9295774647887321E-2</v>
      </c>
      <c r="D243" s="740"/>
      <c r="E243" s="572">
        <f>E242/Sum!E$49</f>
        <v>5.5555555555555552E-2</v>
      </c>
      <c r="F243" s="740"/>
      <c r="G243" s="572">
        <f>G242/Sum!G$49</f>
        <v>3.1794871794871796E-2</v>
      </c>
      <c r="H243" s="740"/>
      <c r="I243" s="572" t="e">
        <f>I242/Sum!I$49</f>
        <v>#REF!</v>
      </c>
      <c r="J243" s="740"/>
      <c r="K243" s="572">
        <f>K242/Sum!K$49</f>
        <v>4.2786069651741296E-2</v>
      </c>
      <c r="L243" s="738"/>
      <c r="M243" s="572" t="e">
        <f>M242/Sum!M$49</f>
        <v>#REF!</v>
      </c>
      <c r="O243" s="572">
        <f>O242/Sum!O$49</f>
        <v>0</v>
      </c>
    </row>
    <row r="244" spans="1:19" ht="15" customHeight="1" x14ac:dyDescent="0.2">
      <c r="A244" s="712"/>
      <c r="B244" s="521" t="s">
        <v>506</v>
      </c>
      <c r="C244" s="565">
        <f>INPUT!C130</f>
        <v>50000</v>
      </c>
      <c r="D244" s="601"/>
      <c r="E244" s="565">
        <f>INPUT!E130</f>
        <v>20000</v>
      </c>
      <c r="F244" s="601"/>
      <c r="G244" s="565">
        <f>INPUT!G130</f>
        <v>120000</v>
      </c>
      <c r="H244" s="601"/>
      <c r="I244" s="565" t="e">
        <f>INPUT!#REF!</f>
        <v>#REF!</v>
      </c>
      <c r="J244" s="601"/>
      <c r="K244" s="565">
        <f>INPUT!I130</f>
        <v>30000</v>
      </c>
      <c r="L244" s="722"/>
      <c r="M244" s="565" t="e">
        <f>INPUT!#REF!</f>
        <v>#REF!</v>
      </c>
      <c r="O244" s="565"/>
    </row>
    <row r="245" spans="1:19" ht="15" customHeight="1" x14ac:dyDescent="0.2">
      <c r="A245" s="712"/>
      <c r="B245" s="570" t="s">
        <v>509</v>
      </c>
      <c r="C245" s="573">
        <f>C244/Sum!C$49</f>
        <v>1.4084507042253521E-2</v>
      </c>
      <c r="D245" s="740"/>
      <c r="E245" s="573">
        <f>E244/Sum!E$49</f>
        <v>4.9382716049382715E-3</v>
      </c>
      <c r="F245" s="740"/>
      <c r="G245" s="573">
        <f>G244/Sum!G$49</f>
        <v>2.4615384615384615E-2</v>
      </c>
      <c r="H245" s="740"/>
      <c r="I245" s="573" t="e">
        <f>I244/Sum!I$49</f>
        <v>#REF!</v>
      </c>
      <c r="J245" s="740"/>
      <c r="K245" s="573">
        <f>K244/Sum!K$49</f>
        <v>5.9701492537313433E-3</v>
      </c>
      <c r="L245" s="738"/>
      <c r="M245" s="573" t="e">
        <f>M244/Sum!M$49</f>
        <v>#REF!</v>
      </c>
      <c r="O245" s="573">
        <f>O244/Sum!O$49</f>
        <v>0</v>
      </c>
    </row>
    <row r="246" spans="1:19" ht="13.5" thickBot="1" x14ac:dyDescent="0.25">
      <c r="A246" s="712"/>
      <c r="B246" s="520" t="s">
        <v>207</v>
      </c>
      <c r="C246" s="566">
        <f>INPUT!C131</f>
        <v>10000</v>
      </c>
      <c r="D246" s="578"/>
      <c r="E246" s="566">
        <f>INPUT!E131</f>
        <v>18000</v>
      </c>
      <c r="F246" s="578"/>
      <c r="G246" s="566">
        <f>INPUT!G131</f>
        <v>50000</v>
      </c>
      <c r="H246" s="578"/>
      <c r="I246" s="566" t="e">
        <f>INPUT!#REF!</f>
        <v>#REF!</v>
      </c>
      <c r="J246" s="578"/>
      <c r="K246" s="566">
        <f>INPUT!I131</f>
        <v>0</v>
      </c>
      <c r="L246" s="722"/>
      <c r="M246" s="566" t="e">
        <f>INPUT!#REF!</f>
        <v>#REF!</v>
      </c>
      <c r="O246" s="566"/>
    </row>
    <row r="247" spans="1:19" ht="15" customHeight="1" thickTop="1" x14ac:dyDescent="0.2">
      <c r="A247" s="712"/>
      <c r="B247" s="522" t="s">
        <v>507</v>
      </c>
      <c r="C247" s="567">
        <f>C244-C246</f>
        <v>40000</v>
      </c>
      <c r="D247" s="739"/>
      <c r="E247" s="567">
        <f>E244-E246</f>
        <v>2000</v>
      </c>
      <c r="F247" s="739"/>
      <c r="G247" s="567">
        <f>G244-G246</f>
        <v>70000</v>
      </c>
      <c r="H247" s="739"/>
      <c r="I247" s="567" t="e">
        <f>I244-I246</f>
        <v>#REF!</v>
      </c>
      <c r="J247" s="739"/>
      <c r="K247" s="567">
        <f>K244-K246</f>
        <v>30000</v>
      </c>
      <c r="L247" s="722"/>
      <c r="M247" s="567" t="e">
        <f>M244-M246</f>
        <v>#REF!</v>
      </c>
      <c r="O247" s="567">
        <f>O244-O246</f>
        <v>0</v>
      </c>
    </row>
    <row r="248" spans="1:19" s="712" customFormat="1" ht="15" customHeight="1" x14ac:dyDescent="0.2">
      <c r="B248" s="694" t="s">
        <v>509</v>
      </c>
      <c r="C248" s="695">
        <f>C247/Sum!C$49</f>
        <v>1.1267605633802818E-2</v>
      </c>
      <c r="D248" s="741"/>
      <c r="E248" s="695">
        <f>E247/Sum!E$49</f>
        <v>4.9382716049382717E-4</v>
      </c>
      <c r="F248" s="741"/>
      <c r="G248" s="695">
        <f>G247/Sum!G$49</f>
        <v>1.4358974358974359E-2</v>
      </c>
      <c r="H248" s="741"/>
      <c r="I248" s="695" t="e">
        <f>I247/Sum!I$49</f>
        <v>#REF!</v>
      </c>
      <c r="J248" s="741"/>
      <c r="K248" s="695">
        <f>K247/Sum!K$49</f>
        <v>5.9701492537313433E-3</v>
      </c>
      <c r="L248" s="742"/>
      <c r="M248" s="695" t="e">
        <f>M247/Sum!M$49</f>
        <v>#REF!</v>
      </c>
      <c r="O248" s="695">
        <f>O247/Sum!O$49</f>
        <v>0</v>
      </c>
    </row>
    <row r="249" spans="1:19" s="712" customFormat="1" ht="15" customHeight="1" x14ac:dyDescent="0.2">
      <c r="B249" s="696" t="s">
        <v>583</v>
      </c>
      <c r="C249" s="697">
        <f>+INPUT!C134</f>
        <v>0</v>
      </c>
      <c r="D249" s="743"/>
      <c r="E249" s="697">
        <f>+INPUT!E134</f>
        <v>0</v>
      </c>
      <c r="F249" s="743"/>
      <c r="G249" s="697">
        <f>+INPUT!G134</f>
        <v>0</v>
      </c>
      <c r="H249" s="743"/>
      <c r="I249" s="697" t="e">
        <f>+INPUT!#REF!</f>
        <v>#REF!</v>
      </c>
      <c r="J249" s="743"/>
      <c r="K249" s="697">
        <f>+INPUT!I134</f>
        <v>0</v>
      </c>
      <c r="L249" s="742"/>
      <c r="M249" s="697" t="e">
        <f>+INPUT!#REF!</f>
        <v>#REF!</v>
      </c>
      <c r="O249" s="697"/>
    </row>
    <row r="250" spans="1:19" s="712" customFormat="1" ht="15" customHeight="1" x14ac:dyDescent="0.2">
      <c r="B250" s="698" t="s">
        <v>509</v>
      </c>
      <c r="C250" s="699">
        <f>C249/Sum!C$49</f>
        <v>0</v>
      </c>
      <c r="D250" s="741"/>
      <c r="E250" s="699">
        <f>E249/Sum!E$49</f>
        <v>0</v>
      </c>
      <c r="F250" s="741"/>
      <c r="G250" s="699">
        <f>G249/Sum!G$49</f>
        <v>0</v>
      </c>
      <c r="H250" s="741"/>
      <c r="I250" s="699" t="e">
        <f>I249/Sum!I$49</f>
        <v>#REF!</v>
      </c>
      <c r="J250" s="741"/>
      <c r="K250" s="699">
        <f>K249/Sum!K$49</f>
        <v>0</v>
      </c>
      <c r="L250" s="744"/>
      <c r="M250" s="699" t="e">
        <f>M249/Sum!M$49</f>
        <v>#REF!</v>
      </c>
      <c r="N250" s="745"/>
      <c r="O250" s="699">
        <f>O249/Sum!O$49</f>
        <v>0</v>
      </c>
    </row>
    <row r="251" spans="1:19" s="712" customFormat="1" ht="18" customHeight="1" x14ac:dyDescent="0.2">
      <c r="B251" s="696" t="s">
        <v>582</v>
      </c>
      <c r="C251" s="697">
        <f>+INPUT!C152</f>
        <v>0</v>
      </c>
      <c r="D251" s="743"/>
      <c r="E251" s="697">
        <f>+INPUT!E152</f>
        <v>0</v>
      </c>
      <c r="F251" s="743"/>
      <c r="G251" s="697">
        <f>+INPUT!G152</f>
        <v>0</v>
      </c>
      <c r="H251" s="743"/>
      <c r="I251" s="697" t="e">
        <f>+INPUT!#REF!</f>
        <v>#REF!</v>
      </c>
      <c r="J251" s="743"/>
      <c r="K251" s="697">
        <f>+INPUT!I152</f>
        <v>0</v>
      </c>
      <c r="L251" s="742"/>
      <c r="M251" s="697" t="e">
        <f>+INPUT!#REF!</f>
        <v>#REF!</v>
      </c>
      <c r="O251" s="697"/>
    </row>
    <row r="252" spans="1:19" s="712" customFormat="1" ht="15" customHeight="1" x14ac:dyDescent="0.2">
      <c r="B252" s="698" t="s">
        <v>509</v>
      </c>
      <c r="C252" s="699">
        <f>C251/Sum!C$49</f>
        <v>0</v>
      </c>
      <c r="D252" s="743"/>
      <c r="E252" s="699">
        <f>E251/Sum!E$49</f>
        <v>0</v>
      </c>
      <c r="F252" s="743"/>
      <c r="G252" s="699">
        <f>G251/Sum!G$49</f>
        <v>0</v>
      </c>
      <c r="H252" s="743"/>
      <c r="I252" s="699" t="e">
        <f>I251/Sum!I$49</f>
        <v>#REF!</v>
      </c>
      <c r="J252" s="743"/>
      <c r="K252" s="699">
        <f>K251/Sum!K$49</f>
        <v>0</v>
      </c>
      <c r="L252" s="742"/>
      <c r="M252" s="699" t="e">
        <f>M251/Sum!M$49</f>
        <v>#REF!</v>
      </c>
      <c r="O252" s="699">
        <f>O251/Sum!O$49</f>
        <v>0</v>
      </c>
    </row>
    <row r="253" spans="1:19" s="712" customFormat="1" ht="15" customHeight="1" x14ac:dyDescent="0.2">
      <c r="B253" s="696" t="s">
        <v>590</v>
      </c>
      <c r="C253" s="697">
        <f>+INPUT!C153</f>
        <v>0</v>
      </c>
      <c r="D253" s="746"/>
      <c r="E253" s="697">
        <f>INPUT!E152</f>
        <v>0</v>
      </c>
      <c r="F253" s="746"/>
      <c r="G253" s="697">
        <f>INPUT!G152</f>
        <v>0</v>
      </c>
      <c r="H253" s="746"/>
      <c r="I253" s="697" t="e">
        <f>INPUT!#REF!</f>
        <v>#REF!</v>
      </c>
      <c r="J253" s="746"/>
      <c r="K253" s="697">
        <f>INPUT!I152</f>
        <v>0</v>
      </c>
      <c r="L253" s="747"/>
      <c r="M253" s="697" t="e">
        <f>INPUT!#REF!</f>
        <v>#REF!</v>
      </c>
      <c r="O253" s="697"/>
    </row>
    <row r="254" spans="1:19" s="712" customFormat="1" ht="15" customHeight="1" x14ac:dyDescent="0.2">
      <c r="B254" s="698" t="s">
        <v>509</v>
      </c>
      <c r="C254" s="699">
        <f>C253/Sum!C$49</f>
        <v>0</v>
      </c>
      <c r="D254" s="741"/>
      <c r="E254" s="699">
        <f>E253/Sum!E$49</f>
        <v>0</v>
      </c>
      <c r="F254" s="741"/>
      <c r="G254" s="699">
        <f>G253/Sum!G$49</f>
        <v>0</v>
      </c>
      <c r="H254" s="741"/>
      <c r="I254" s="699" t="e">
        <f>I253/Sum!I$49</f>
        <v>#REF!</v>
      </c>
      <c r="J254" s="741"/>
      <c r="K254" s="699">
        <f>K253/Sum!K$49</f>
        <v>0</v>
      </c>
      <c r="L254" s="748"/>
      <c r="M254" s="699" t="e">
        <f>M253/Sum!M$49</f>
        <v>#REF!</v>
      </c>
      <c r="O254" s="699">
        <f>O253/Sum!O$49</f>
        <v>0</v>
      </c>
    </row>
    <row r="255" spans="1:19" s="712" customFormat="1" ht="15" customHeight="1" x14ac:dyDescent="0.2">
      <c r="B255" s="702" t="s">
        <v>588</v>
      </c>
      <c r="C255" s="703">
        <f>+INPUT!C27</f>
        <v>0</v>
      </c>
      <c r="D255" s="749"/>
      <c r="E255" s="703">
        <f>+INPUT!E27</f>
        <v>0</v>
      </c>
      <c r="F255" s="704" t="s">
        <v>589</v>
      </c>
      <c r="G255" s="703">
        <f>+INPUT!G27</f>
        <v>0</v>
      </c>
      <c r="H255" s="704" t="s">
        <v>589</v>
      </c>
      <c r="I255" s="703" t="e">
        <f>+INPUT!#REF!</f>
        <v>#REF!</v>
      </c>
      <c r="J255" s="704" t="s">
        <v>589</v>
      </c>
      <c r="K255" s="703">
        <f>+INPUT!I27</f>
        <v>0</v>
      </c>
      <c r="L255" s="704" t="s">
        <v>589</v>
      </c>
      <c r="M255" s="703" t="e">
        <f>+INPUT!#REF!</f>
        <v>#REF!</v>
      </c>
      <c r="N255" s="704" t="s">
        <v>589</v>
      </c>
      <c r="O255" s="703">
        <f>+INPUT!L27</f>
        <v>0</v>
      </c>
      <c r="Q255" s="787"/>
      <c r="R255" s="788"/>
      <c r="S255" s="788"/>
    </row>
    <row r="256" spans="1:19" s="750" customFormat="1" ht="26.25" customHeight="1" x14ac:dyDescent="0.2">
      <c r="B256" s="700" t="s">
        <v>601</v>
      </c>
      <c r="C256" s="701">
        <f>Sum!C30</f>
        <v>9.8591549295774641E-2</v>
      </c>
      <c r="D256" s="751"/>
      <c r="E256" s="701">
        <f>Sum!E30</f>
        <v>0.1111111111111111</v>
      </c>
      <c r="F256" s="751"/>
      <c r="G256" s="701">
        <f>Sum!G30</f>
        <v>0.11794871794871795</v>
      </c>
      <c r="H256" s="751"/>
      <c r="I256" s="701" t="e">
        <f>Sum!I30</f>
        <v>#REF!</v>
      </c>
      <c r="J256" s="751"/>
      <c r="K256" s="701">
        <f>Sum!K30</f>
        <v>0.11940298507462686</v>
      </c>
      <c r="L256" s="752"/>
      <c r="M256" s="701" t="e">
        <f>Sum!M30</f>
        <v>#REF!</v>
      </c>
      <c r="O256" s="701">
        <f>Sum!O30</f>
        <v>0</v>
      </c>
    </row>
    <row r="259" spans="1:13" x14ac:dyDescent="0.2">
      <c r="A259" s="467" t="s">
        <v>576</v>
      </c>
    </row>
    <row r="260" spans="1:13" x14ac:dyDescent="0.2">
      <c r="B260" s="753"/>
      <c r="C260" s="728"/>
      <c r="D260" s="728"/>
      <c r="E260" s="728"/>
      <c r="F260" s="728"/>
      <c r="G260" s="728"/>
      <c r="H260" s="728"/>
      <c r="I260" s="728"/>
      <c r="J260" s="728"/>
      <c r="K260" s="728"/>
      <c r="L260" s="728"/>
      <c r="M260" s="728"/>
    </row>
    <row r="261" spans="1:13" x14ac:dyDescent="0.2">
      <c r="B261" s="753"/>
      <c r="C261" s="728"/>
      <c r="D261" s="728"/>
      <c r="E261" s="728"/>
      <c r="F261" s="728"/>
      <c r="G261" s="728"/>
      <c r="H261" s="728"/>
      <c r="I261" s="728"/>
      <c r="J261" s="728"/>
      <c r="K261" s="728"/>
      <c r="L261" s="728"/>
      <c r="M261" s="728"/>
    </row>
    <row r="262" spans="1:13" x14ac:dyDescent="0.2">
      <c r="B262" s="753"/>
      <c r="C262" s="728"/>
      <c r="D262" s="728"/>
      <c r="E262" s="728"/>
      <c r="F262" s="728"/>
      <c r="G262" s="728"/>
      <c r="H262" s="728"/>
      <c r="I262" s="728"/>
      <c r="J262" s="728"/>
      <c r="K262" s="728"/>
      <c r="L262" s="728"/>
      <c r="M262" s="728"/>
    </row>
    <row r="263" spans="1:13" x14ac:dyDescent="0.2">
      <c r="B263" s="753"/>
      <c r="C263" s="728"/>
      <c r="D263" s="728"/>
      <c r="E263" s="728"/>
      <c r="F263" s="728"/>
      <c r="G263" s="728"/>
      <c r="H263" s="728"/>
      <c r="I263" s="728"/>
      <c r="J263" s="728"/>
      <c r="K263" s="728"/>
      <c r="L263" s="728"/>
      <c r="M263" s="728"/>
    </row>
    <row r="264" spans="1:13" x14ac:dyDescent="0.2">
      <c r="B264" s="753"/>
      <c r="C264" s="728"/>
      <c r="D264" s="728"/>
      <c r="E264" s="728"/>
      <c r="F264" s="728"/>
      <c r="G264" s="728"/>
      <c r="H264" s="728"/>
      <c r="I264" s="728"/>
      <c r="J264" s="728"/>
      <c r="K264" s="728"/>
      <c r="L264" s="728"/>
      <c r="M264" s="728"/>
    </row>
    <row r="265" spans="1:13" x14ac:dyDescent="0.2">
      <c r="B265" s="753"/>
      <c r="C265" s="728"/>
      <c r="D265" s="728"/>
      <c r="E265" s="728"/>
      <c r="F265" s="728"/>
      <c r="G265" s="728"/>
      <c r="H265" s="728"/>
      <c r="I265" s="728"/>
      <c r="J265" s="728"/>
      <c r="K265" s="728"/>
      <c r="L265" s="728"/>
      <c r="M265" s="728"/>
    </row>
    <row r="266" spans="1:13" x14ac:dyDescent="0.2">
      <c r="B266" s="753"/>
      <c r="C266" s="728"/>
      <c r="D266" s="728"/>
      <c r="E266" s="728"/>
      <c r="F266" s="728"/>
      <c r="G266" s="728"/>
      <c r="H266" s="728"/>
      <c r="I266" s="728"/>
      <c r="J266" s="728"/>
      <c r="K266" s="728"/>
      <c r="L266" s="728"/>
      <c r="M266" s="728"/>
    </row>
    <row r="267" spans="1:13" x14ac:dyDescent="0.2">
      <c r="B267" s="753"/>
      <c r="C267" s="728"/>
      <c r="D267" s="728"/>
      <c r="E267" s="728"/>
      <c r="F267" s="728"/>
      <c r="G267" s="728"/>
      <c r="H267" s="728"/>
      <c r="I267" s="728"/>
      <c r="J267" s="728"/>
      <c r="K267" s="728"/>
      <c r="L267" s="728"/>
      <c r="M267" s="728"/>
    </row>
    <row r="268" spans="1:13" x14ac:dyDescent="0.2">
      <c r="B268" s="753"/>
      <c r="C268" s="728"/>
      <c r="D268" s="728"/>
      <c r="E268" s="728"/>
      <c r="F268" s="728"/>
      <c r="G268" s="728"/>
      <c r="H268" s="728"/>
      <c r="I268" s="728"/>
      <c r="J268" s="728"/>
      <c r="K268" s="728"/>
      <c r="L268" s="728"/>
      <c r="M268" s="728"/>
    </row>
    <row r="269" spans="1:13" x14ac:dyDescent="0.2">
      <c r="B269" s="753"/>
      <c r="C269" s="728"/>
      <c r="D269" s="728"/>
      <c r="E269" s="728"/>
      <c r="F269" s="728"/>
      <c r="G269" s="728"/>
      <c r="H269" s="728"/>
      <c r="I269" s="728"/>
      <c r="J269" s="728"/>
      <c r="K269" s="728"/>
      <c r="L269" s="728"/>
      <c r="M269" s="728"/>
    </row>
    <row r="270" spans="1:13" x14ac:dyDescent="0.2">
      <c r="B270" s="753"/>
      <c r="C270" s="728"/>
      <c r="D270" s="728"/>
      <c r="E270" s="728"/>
      <c r="F270" s="728"/>
      <c r="G270" s="728"/>
      <c r="H270" s="728"/>
      <c r="I270" s="728"/>
      <c r="J270" s="728"/>
      <c r="K270" s="728"/>
      <c r="L270" s="728"/>
      <c r="M270" s="728"/>
    </row>
    <row r="271" spans="1:13" x14ac:dyDescent="0.2">
      <c r="B271" s="753"/>
      <c r="C271" s="728"/>
      <c r="D271" s="728"/>
      <c r="E271" s="728"/>
      <c r="F271" s="728"/>
      <c r="G271" s="728"/>
      <c r="H271" s="728"/>
      <c r="I271" s="728"/>
      <c r="J271" s="728"/>
      <c r="K271" s="728"/>
      <c r="L271" s="728"/>
      <c r="M271" s="728"/>
    </row>
    <row r="272" spans="1:13" x14ac:dyDescent="0.2">
      <c r="B272" s="753"/>
      <c r="C272" s="728"/>
      <c r="D272" s="728"/>
      <c r="E272" s="728"/>
      <c r="F272" s="728"/>
      <c r="G272" s="728"/>
      <c r="H272" s="728"/>
      <c r="I272" s="728"/>
      <c r="J272" s="728"/>
      <c r="K272" s="728"/>
      <c r="L272" s="728"/>
      <c r="M272" s="728"/>
    </row>
    <row r="273" spans="2:13" x14ac:dyDescent="0.2">
      <c r="B273" s="753"/>
      <c r="C273" s="728"/>
      <c r="D273" s="728"/>
      <c r="E273" s="728"/>
      <c r="F273" s="728"/>
      <c r="G273" s="728"/>
      <c r="H273" s="728"/>
      <c r="I273" s="728"/>
      <c r="J273" s="728"/>
      <c r="K273" s="728"/>
      <c r="L273" s="728"/>
      <c r="M273" s="728"/>
    </row>
    <row r="274" spans="2:13" x14ac:dyDescent="0.2">
      <c r="B274" s="753"/>
      <c r="C274" s="728"/>
      <c r="D274" s="728"/>
      <c r="E274" s="728"/>
      <c r="F274" s="728"/>
      <c r="G274" s="728"/>
      <c r="H274" s="728"/>
      <c r="I274" s="728"/>
      <c r="J274" s="728"/>
      <c r="K274" s="728"/>
      <c r="L274" s="728"/>
      <c r="M274" s="728"/>
    </row>
    <row r="275" spans="2:13" x14ac:dyDescent="0.2">
      <c r="B275" s="753"/>
      <c r="C275" s="728"/>
      <c r="D275" s="728"/>
      <c r="E275" s="728"/>
      <c r="F275" s="728"/>
      <c r="G275" s="728"/>
      <c r="H275" s="728"/>
      <c r="I275" s="728"/>
      <c r="J275" s="728"/>
      <c r="K275" s="728"/>
      <c r="L275" s="728"/>
      <c r="M275" s="728"/>
    </row>
    <row r="276" spans="2:13" x14ac:dyDescent="0.2">
      <c r="B276" s="753"/>
      <c r="C276" s="728"/>
      <c r="D276" s="728"/>
      <c r="E276" s="728"/>
      <c r="F276" s="728"/>
      <c r="G276" s="728"/>
      <c r="H276" s="728"/>
      <c r="I276" s="728"/>
      <c r="J276" s="728"/>
      <c r="K276" s="728"/>
      <c r="L276" s="728"/>
      <c r="M276" s="728"/>
    </row>
    <row r="277" spans="2:13" x14ac:dyDescent="0.2">
      <c r="B277" s="753"/>
      <c r="C277" s="728"/>
      <c r="D277" s="728"/>
      <c r="E277" s="728"/>
      <c r="F277" s="728"/>
      <c r="G277" s="728"/>
      <c r="H277" s="728"/>
      <c r="I277" s="728"/>
      <c r="J277" s="728"/>
      <c r="K277" s="728"/>
      <c r="L277" s="728"/>
      <c r="M277" s="728"/>
    </row>
    <row r="278" spans="2:13" x14ac:dyDescent="0.2">
      <c r="B278" s="753"/>
      <c r="C278" s="728"/>
      <c r="D278" s="728"/>
      <c r="E278" s="728"/>
      <c r="F278" s="728"/>
      <c r="G278" s="728"/>
      <c r="H278" s="728"/>
      <c r="I278" s="728"/>
      <c r="J278" s="728"/>
      <c r="K278" s="728"/>
      <c r="L278" s="728"/>
      <c r="M278" s="728"/>
    </row>
    <row r="279" spans="2:13" x14ac:dyDescent="0.2">
      <c r="B279" s="753"/>
      <c r="C279" s="728"/>
      <c r="D279" s="728"/>
      <c r="E279" s="728"/>
      <c r="F279" s="728"/>
      <c r="G279" s="728"/>
      <c r="H279" s="728"/>
      <c r="I279" s="728"/>
      <c r="J279" s="728"/>
      <c r="K279" s="728"/>
      <c r="L279" s="728"/>
      <c r="M279" s="728"/>
    </row>
    <row r="280" spans="2:13" x14ac:dyDescent="0.2">
      <c r="B280" s="753"/>
      <c r="C280" s="728"/>
      <c r="D280" s="728"/>
      <c r="E280" s="728"/>
      <c r="F280" s="728"/>
      <c r="G280" s="728"/>
      <c r="H280" s="728"/>
      <c r="I280" s="728"/>
      <c r="J280" s="728"/>
      <c r="K280" s="728"/>
      <c r="L280" s="728"/>
      <c r="M280" s="728"/>
    </row>
    <row r="281" spans="2:13" ht="13.5" thickBot="1" x14ac:dyDescent="0.25">
      <c r="B281" s="728"/>
      <c r="C281" s="627" t="str">
        <f>+C203</f>
        <v>FYE 2006</v>
      </c>
      <c r="D281" s="628"/>
      <c r="E281" s="627" t="str">
        <f t="shared" ref="E281:M281" si="3">+E203</f>
        <v>FYE 2007</v>
      </c>
      <c r="F281" s="627">
        <f t="shared" si="3"/>
        <v>0</v>
      </c>
      <c r="G281" s="627" t="str">
        <f t="shared" si="3"/>
        <v>FYE 2008</v>
      </c>
      <c r="H281" s="627">
        <f t="shared" si="3"/>
        <v>0</v>
      </c>
      <c r="I281" s="627" t="str">
        <f t="shared" si="3"/>
        <v>FYE 2009</v>
      </c>
      <c r="J281" s="627">
        <f t="shared" si="3"/>
        <v>0</v>
      </c>
      <c r="K281" s="627" t="str">
        <f t="shared" si="3"/>
        <v>FYE 2010</v>
      </c>
      <c r="L281" s="627">
        <f t="shared" si="3"/>
        <v>0</v>
      </c>
      <c r="M281" s="627" t="e">
        <f t="shared" si="3"/>
        <v>#REF!</v>
      </c>
    </row>
    <row r="282" spans="2:13" x14ac:dyDescent="0.2">
      <c r="B282" s="728" t="str">
        <f>+INPUT!B217</f>
        <v>RR CATEGORY</v>
      </c>
      <c r="C282" s="754">
        <f>+INPUT!C217/Sum!$C$49</f>
        <v>0</v>
      </c>
      <c r="D282" s="754"/>
      <c r="E282" s="754">
        <f>+INPUT!E217/Sum!$E$49</f>
        <v>0</v>
      </c>
      <c r="F282" s="754">
        <v>0.15</v>
      </c>
      <c r="G282" s="754">
        <f>+INPUT!G217/Sum!$G$49</f>
        <v>0</v>
      </c>
      <c r="H282" s="754">
        <v>0.15</v>
      </c>
      <c r="I282" s="754" t="e">
        <f>+INPUT!#REF!/Sum!$I$49</f>
        <v>#REF!</v>
      </c>
      <c r="J282" s="754">
        <v>0.15</v>
      </c>
      <c r="K282" s="754">
        <f>+INPUT!I217/Sum!$K$49</f>
        <v>0</v>
      </c>
      <c r="L282" s="754">
        <v>0.15</v>
      </c>
      <c r="M282" s="754" t="e">
        <f>+INPUT!#REF!/Sum!$M$49</f>
        <v>#REF!</v>
      </c>
    </row>
    <row r="283" spans="2:13" x14ac:dyDescent="0.2">
      <c r="B283" s="728" t="str">
        <f>+INPUT!B218</f>
        <v>RR CATEGORY</v>
      </c>
      <c r="C283" s="754">
        <f>+INPUT!C218/Sum!$C$49</f>
        <v>0</v>
      </c>
      <c r="D283" s="754"/>
      <c r="E283" s="754">
        <f>+INPUT!E218/Sum!$E$49</f>
        <v>0</v>
      </c>
      <c r="F283" s="754">
        <v>0.25</v>
      </c>
      <c r="G283" s="754">
        <f>+INPUT!G218/Sum!$G$49</f>
        <v>0</v>
      </c>
      <c r="H283" s="754">
        <v>0.25</v>
      </c>
      <c r="I283" s="754" t="e">
        <f>+INPUT!#REF!/Sum!$I$49</f>
        <v>#REF!</v>
      </c>
      <c r="J283" s="754">
        <v>0.25</v>
      </c>
      <c r="K283" s="754">
        <f>+INPUT!I218/Sum!$K$49</f>
        <v>0</v>
      </c>
      <c r="L283" s="754">
        <v>0.25</v>
      </c>
      <c r="M283" s="754" t="e">
        <f>+INPUT!#REF!/Sum!$M$49</f>
        <v>#REF!</v>
      </c>
    </row>
    <row r="284" spans="2:13" x14ac:dyDescent="0.2">
      <c r="B284" s="728" t="str">
        <f>+INPUT!B219</f>
        <v>RR CATEGORY</v>
      </c>
      <c r="C284" s="754">
        <f>+INPUT!C219/Sum!$C$49</f>
        <v>0</v>
      </c>
      <c r="D284" s="754"/>
      <c r="E284" s="754">
        <f>+INPUT!E219/Sum!$E$49</f>
        <v>0</v>
      </c>
      <c r="F284" s="754">
        <v>0.35</v>
      </c>
      <c r="G284" s="754">
        <f>+INPUT!G219/Sum!$G$49</f>
        <v>0</v>
      </c>
      <c r="H284" s="754">
        <v>0.35</v>
      </c>
      <c r="I284" s="754" t="e">
        <f>+INPUT!#REF!/Sum!$I$49</f>
        <v>#REF!</v>
      </c>
      <c r="J284" s="754">
        <v>0.35</v>
      </c>
      <c r="K284" s="754">
        <f>+INPUT!I219/Sum!$K$49</f>
        <v>0</v>
      </c>
      <c r="L284" s="754">
        <v>0.35</v>
      </c>
      <c r="M284" s="754" t="e">
        <f>+INPUT!#REF!/Sum!$M$49</f>
        <v>#REF!</v>
      </c>
    </row>
    <row r="285" spans="2:13" x14ac:dyDescent="0.2">
      <c r="B285" s="728" t="str">
        <f>+INPUT!B220</f>
        <v>RR CATEGORY</v>
      </c>
      <c r="C285" s="754">
        <f>+INPUT!C220/Sum!$C$49</f>
        <v>0</v>
      </c>
      <c r="D285" s="754"/>
      <c r="E285" s="754">
        <f>+INPUT!E220/Sum!$E$49</f>
        <v>0</v>
      </c>
      <c r="F285" s="754">
        <v>0.15</v>
      </c>
      <c r="G285" s="754">
        <f>+INPUT!G220/Sum!$G$49</f>
        <v>0</v>
      </c>
      <c r="H285" s="754">
        <v>0.15</v>
      </c>
      <c r="I285" s="754" t="e">
        <f>+INPUT!#REF!/Sum!$I$49</f>
        <v>#REF!</v>
      </c>
      <c r="J285" s="754">
        <v>0.15</v>
      </c>
      <c r="K285" s="754">
        <f>+INPUT!I220/Sum!$K$49</f>
        <v>0</v>
      </c>
      <c r="L285" s="754">
        <v>0.15</v>
      </c>
      <c r="M285" s="754" t="e">
        <f>+INPUT!#REF!/Sum!$M$49</f>
        <v>#REF!</v>
      </c>
    </row>
    <row r="286" spans="2:13" x14ac:dyDescent="0.2">
      <c r="B286" s="728" t="str">
        <f>+INPUT!B221</f>
        <v>RR CATEGORY</v>
      </c>
      <c r="C286" s="754">
        <f>+INPUT!C221/Sum!$C$49</f>
        <v>0</v>
      </c>
      <c r="D286" s="754"/>
      <c r="E286" s="754">
        <f>+INPUT!E221/Sum!$E$49</f>
        <v>0</v>
      </c>
      <c r="F286" s="754">
        <v>0.05</v>
      </c>
      <c r="G286" s="754">
        <f>+INPUT!G221/Sum!$G$49</f>
        <v>0</v>
      </c>
      <c r="H286" s="754">
        <v>0.05</v>
      </c>
      <c r="I286" s="754" t="e">
        <f>+INPUT!#REF!/Sum!$I$49</f>
        <v>#REF!</v>
      </c>
      <c r="J286" s="754">
        <v>0.05</v>
      </c>
      <c r="K286" s="754">
        <f>+INPUT!I221/Sum!$K$49</f>
        <v>0</v>
      </c>
      <c r="L286" s="754">
        <v>0.05</v>
      </c>
      <c r="M286" s="754" t="e">
        <f>+INPUT!#REF!/Sum!$M$49</f>
        <v>#REF!</v>
      </c>
    </row>
    <row r="287" spans="2:13" x14ac:dyDescent="0.2">
      <c r="B287" s="728" t="str">
        <f>+INPUT!B222</f>
        <v>RR CATEGORY</v>
      </c>
      <c r="C287" s="754">
        <f>+INPUT!C222/Sum!$C$49</f>
        <v>0</v>
      </c>
      <c r="D287" s="754"/>
      <c r="E287" s="754">
        <f>+INPUT!E222/Sum!$E$49</f>
        <v>0</v>
      </c>
      <c r="F287" s="754">
        <v>0.05</v>
      </c>
      <c r="G287" s="754">
        <f>+INPUT!G222/Sum!$G$49</f>
        <v>0</v>
      </c>
      <c r="H287" s="754">
        <v>0.05</v>
      </c>
      <c r="I287" s="754" t="e">
        <f>+INPUT!#REF!/Sum!$I$49</f>
        <v>#REF!</v>
      </c>
      <c r="J287" s="754">
        <v>0.05</v>
      </c>
      <c r="K287" s="754">
        <f>+INPUT!I222/Sum!$K$49</f>
        <v>0</v>
      </c>
      <c r="L287" s="754">
        <v>0.05</v>
      </c>
      <c r="M287" s="754" t="e">
        <f>+INPUT!#REF!/Sum!$M$49</f>
        <v>#REF!</v>
      </c>
    </row>
    <row r="288" spans="2:13" x14ac:dyDescent="0.2">
      <c r="B288" s="728"/>
      <c r="C288" s="755">
        <f>SUM(C282:C287)</f>
        <v>0</v>
      </c>
      <c r="D288" s="728"/>
      <c r="E288" s="755">
        <f t="shared" ref="E288:M288" si="4">SUM(E282:E287)</f>
        <v>0</v>
      </c>
      <c r="F288" s="755">
        <f t="shared" si="4"/>
        <v>1</v>
      </c>
      <c r="G288" s="755">
        <f t="shared" si="4"/>
        <v>0</v>
      </c>
      <c r="H288" s="755">
        <f t="shared" si="4"/>
        <v>1</v>
      </c>
      <c r="I288" s="755" t="e">
        <f t="shared" si="4"/>
        <v>#REF!</v>
      </c>
      <c r="J288" s="755">
        <f t="shared" si="4"/>
        <v>1</v>
      </c>
      <c r="K288" s="755">
        <f t="shared" si="4"/>
        <v>0</v>
      </c>
      <c r="L288" s="755">
        <f t="shared" si="4"/>
        <v>1</v>
      </c>
      <c r="M288" s="755" t="e">
        <f t="shared" si="4"/>
        <v>#REF!</v>
      </c>
    </row>
    <row r="289" spans="1:13" x14ac:dyDescent="0.2">
      <c r="B289" s="753"/>
      <c r="C289" s="728"/>
      <c r="D289" s="728"/>
      <c r="E289" s="728"/>
      <c r="F289" s="728"/>
      <c r="G289" s="728"/>
      <c r="H289" s="728"/>
      <c r="I289" s="728"/>
      <c r="J289" s="728"/>
      <c r="K289" s="728"/>
      <c r="L289" s="728"/>
      <c r="M289" s="728"/>
    </row>
    <row r="290" spans="1:13" x14ac:dyDescent="0.2">
      <c r="B290" s="711"/>
    </row>
    <row r="291" spans="1:13" x14ac:dyDescent="0.2">
      <c r="A291" s="467" t="s">
        <v>575</v>
      </c>
    </row>
    <row r="292" spans="1:13" ht="49.5" customHeight="1" thickBot="1" x14ac:dyDescent="0.25">
      <c r="B292" s="630" t="s">
        <v>570</v>
      </c>
      <c r="C292" s="630" t="s">
        <v>571</v>
      </c>
      <c r="D292" s="756"/>
      <c r="E292" s="630" t="s">
        <v>572</v>
      </c>
      <c r="F292" s="756"/>
      <c r="G292" s="631" t="s">
        <v>573</v>
      </c>
      <c r="H292" s="756"/>
      <c r="I292" s="630" t="s">
        <v>597</v>
      </c>
      <c r="J292" s="756"/>
      <c r="K292" s="630" t="s">
        <v>574</v>
      </c>
    </row>
    <row r="293" spans="1:13" x14ac:dyDescent="0.2">
      <c r="B293" s="632" t="str">
        <f>+INPUT!B217</f>
        <v>RR CATEGORY</v>
      </c>
      <c r="C293" s="670">
        <f>+INPUT!L217</f>
        <v>0</v>
      </c>
      <c r="D293" s="641"/>
      <c r="E293" s="672" t="e">
        <f>+INPUT!#REF!</f>
        <v>#REF!</v>
      </c>
      <c r="F293" s="641"/>
      <c r="G293" s="680" t="e">
        <f>+E293/Sum!$M$93</f>
        <v>#REF!</v>
      </c>
      <c r="H293" s="641"/>
      <c r="I293" s="633">
        <f>+INPUT!N217</f>
        <v>0</v>
      </c>
      <c r="J293" s="641"/>
      <c r="K293" s="672" t="e">
        <f t="shared" ref="K293:K298" si="5">+I293*E293</f>
        <v>#REF!</v>
      </c>
    </row>
    <row r="294" spans="1:13" x14ac:dyDescent="0.2">
      <c r="B294" s="632" t="str">
        <f>+INPUT!B218</f>
        <v>RR CATEGORY</v>
      </c>
      <c r="C294" s="670">
        <f>+INPUT!L218</f>
        <v>0</v>
      </c>
      <c r="D294" s="757"/>
      <c r="E294" s="672" t="e">
        <f>+INPUT!#REF!</f>
        <v>#REF!</v>
      </c>
      <c r="F294" s="757"/>
      <c r="G294" s="680" t="e">
        <f>+E294/Sum!$M$93</f>
        <v>#REF!</v>
      </c>
      <c r="H294" s="757"/>
      <c r="I294" s="633">
        <f>+INPUT!N218</f>
        <v>0</v>
      </c>
      <c r="J294" s="757"/>
      <c r="K294" s="672" t="e">
        <f t="shared" si="5"/>
        <v>#REF!</v>
      </c>
    </row>
    <row r="295" spans="1:13" x14ac:dyDescent="0.2">
      <c r="B295" s="632" t="str">
        <f>+INPUT!B219</f>
        <v>RR CATEGORY</v>
      </c>
      <c r="C295" s="670">
        <f>+INPUT!L219</f>
        <v>0</v>
      </c>
      <c r="D295" s="757"/>
      <c r="E295" s="672" t="e">
        <f>+INPUT!#REF!</f>
        <v>#REF!</v>
      </c>
      <c r="F295" s="757"/>
      <c r="G295" s="680" t="e">
        <f>+E295/Sum!$M$93</f>
        <v>#REF!</v>
      </c>
      <c r="H295" s="757"/>
      <c r="I295" s="633">
        <f>+INPUT!N219</f>
        <v>0</v>
      </c>
      <c r="J295" s="757"/>
      <c r="K295" s="672" t="e">
        <f t="shared" si="5"/>
        <v>#REF!</v>
      </c>
    </row>
    <row r="296" spans="1:13" x14ac:dyDescent="0.2">
      <c r="B296" s="632" t="str">
        <f>+INPUT!B220</f>
        <v>RR CATEGORY</v>
      </c>
      <c r="C296" s="670">
        <f>+INPUT!L220</f>
        <v>0</v>
      </c>
      <c r="D296" s="757"/>
      <c r="E296" s="672" t="e">
        <f>+INPUT!#REF!</f>
        <v>#REF!</v>
      </c>
      <c r="F296" s="757"/>
      <c r="G296" s="680" t="e">
        <f>+E296/Sum!$M$93</f>
        <v>#REF!</v>
      </c>
      <c r="H296" s="757"/>
      <c r="I296" s="633">
        <f>+INPUT!N220</f>
        <v>0</v>
      </c>
      <c r="J296" s="757"/>
      <c r="K296" s="672" t="e">
        <f t="shared" si="5"/>
        <v>#REF!</v>
      </c>
    </row>
    <row r="297" spans="1:13" x14ac:dyDescent="0.2">
      <c r="B297" s="632" t="str">
        <f>+INPUT!B221</f>
        <v>RR CATEGORY</v>
      </c>
      <c r="C297" s="670">
        <f>+INPUT!L221</f>
        <v>0</v>
      </c>
      <c r="D297" s="757"/>
      <c r="E297" s="672" t="e">
        <f>+INPUT!#REF!</f>
        <v>#REF!</v>
      </c>
      <c r="F297" s="757"/>
      <c r="G297" s="680" t="e">
        <f>+E297/Sum!$M$93</f>
        <v>#REF!</v>
      </c>
      <c r="H297" s="757"/>
      <c r="I297" s="633">
        <f>+INPUT!N221</f>
        <v>0</v>
      </c>
      <c r="J297" s="757"/>
      <c r="K297" s="672" t="e">
        <f t="shared" si="5"/>
        <v>#REF!</v>
      </c>
    </row>
    <row r="298" spans="1:13" ht="13.5" thickBot="1" x14ac:dyDescent="0.25">
      <c r="B298" s="676" t="str">
        <f>+INPUT!B222</f>
        <v>RR CATEGORY</v>
      </c>
      <c r="C298" s="677">
        <f>+INPUT!L222</f>
        <v>0</v>
      </c>
      <c r="D298" s="644"/>
      <c r="E298" s="678" t="e">
        <f>+INPUT!#REF!</f>
        <v>#REF!</v>
      </c>
      <c r="F298" s="644"/>
      <c r="G298" s="681" t="e">
        <f>+E298/Sum!$M$93</f>
        <v>#REF!</v>
      </c>
      <c r="H298" s="644"/>
      <c r="I298" s="679">
        <f>+INPUT!N222</f>
        <v>0</v>
      </c>
      <c r="J298" s="644"/>
      <c r="K298" s="678" t="e">
        <f t="shared" si="5"/>
        <v>#REF!</v>
      </c>
    </row>
    <row r="299" spans="1:13" ht="13.5" thickTop="1" x14ac:dyDescent="0.2">
      <c r="B299" s="673" t="s">
        <v>453</v>
      </c>
      <c r="C299" s="674">
        <f>SUM(C293:C298)</f>
        <v>0</v>
      </c>
      <c r="D299" s="641"/>
      <c r="E299" s="675" t="e">
        <f>SUM(E293:E298)</f>
        <v>#REF!</v>
      </c>
      <c r="F299" s="641"/>
      <c r="G299" s="674" t="e">
        <f>SUM(G293:G298)</f>
        <v>#REF!</v>
      </c>
      <c r="H299" s="641"/>
      <c r="I299" s="674" t="s">
        <v>436</v>
      </c>
      <c r="J299" s="641"/>
      <c r="K299" s="675" t="e">
        <f>SUM(K293:K298)</f>
        <v>#REF!</v>
      </c>
    </row>
    <row r="300" spans="1:13" ht="27" customHeight="1" x14ac:dyDescent="0.2">
      <c r="B300" s="779" t="s">
        <v>577</v>
      </c>
      <c r="C300" s="779"/>
      <c r="D300" s="779"/>
      <c r="E300" s="779"/>
      <c r="F300" s="779"/>
      <c r="G300" s="779"/>
      <c r="H300" s="779"/>
      <c r="I300" s="779"/>
      <c r="J300" s="757"/>
      <c r="K300" s="671" t="e">
        <f>+Sum!M102</f>
        <v>#REF!</v>
      </c>
    </row>
    <row r="301" spans="1:13" x14ac:dyDescent="0.2">
      <c r="B301" s="286" t="s">
        <v>620</v>
      </c>
    </row>
    <row r="303" spans="1:13" x14ac:dyDescent="0.2">
      <c r="A303" s="467" t="s">
        <v>510</v>
      </c>
    </row>
    <row r="304" spans="1:13" x14ac:dyDescent="0.2">
      <c r="B304" s="711" t="s">
        <v>449</v>
      </c>
    </row>
    <row r="307" spans="1:11" ht="19.5" x14ac:dyDescent="0.25">
      <c r="A307" s="480" t="s">
        <v>131</v>
      </c>
    </row>
    <row r="309" spans="1:11" x14ac:dyDescent="0.2">
      <c r="A309" s="467" t="s">
        <v>612</v>
      </c>
    </row>
    <row r="310" spans="1:11" ht="20.25" customHeight="1" thickBot="1" x14ac:dyDescent="0.25">
      <c r="B310" s="482" t="s">
        <v>545</v>
      </c>
      <c r="C310" s="551" t="s">
        <v>599</v>
      </c>
      <c r="D310" s="551"/>
      <c r="E310" s="551" t="s">
        <v>599</v>
      </c>
      <c r="F310" s="551"/>
      <c r="G310" s="551" t="s">
        <v>599</v>
      </c>
      <c r="H310" s="551"/>
      <c r="I310" s="551" t="s">
        <v>599</v>
      </c>
      <c r="J310" s="551"/>
      <c r="K310" s="551" t="s">
        <v>599</v>
      </c>
    </row>
    <row r="311" spans="1:11" s="750" customFormat="1" ht="26.25" customHeight="1" x14ac:dyDescent="0.2">
      <c r="B311" s="706" t="s">
        <v>385</v>
      </c>
      <c r="C311" s="707">
        <f>+INPUT!C71/1000</f>
        <v>300</v>
      </c>
      <c r="D311" s="708"/>
      <c r="E311" s="707">
        <f>+INPUT!E71/1000</f>
        <v>547</v>
      </c>
      <c r="F311" s="708"/>
      <c r="G311" s="707">
        <f>+INPUT!G71/1000</f>
        <v>300</v>
      </c>
      <c r="H311" s="708"/>
      <c r="I311" s="707" t="e">
        <f>+INPUT!#REF!/1000</f>
        <v>#REF!</v>
      </c>
      <c r="J311" s="708"/>
      <c r="K311" s="707">
        <f>+INPUT!I71/1000</f>
        <v>550</v>
      </c>
    </row>
    <row r="312" spans="1:11" s="725" customFormat="1" ht="15" customHeight="1" x14ac:dyDescent="0.2">
      <c r="B312" s="476" t="s">
        <v>18</v>
      </c>
      <c r="C312" s="576">
        <f>Sum!C34/1000</f>
        <v>375.4</v>
      </c>
      <c r="D312" s="559"/>
      <c r="E312" s="576">
        <f>Sum!E34/1000</f>
        <v>540.75</v>
      </c>
      <c r="F312" s="559"/>
      <c r="G312" s="576">
        <f>Sum!G34/1000</f>
        <v>694</v>
      </c>
      <c r="H312" s="559"/>
      <c r="I312" s="576" t="e">
        <f>Sum!I34/1000</f>
        <v>#REF!</v>
      </c>
      <c r="J312" s="559"/>
      <c r="K312" s="576">
        <f>Sum!K34/1000</f>
        <v>743.12</v>
      </c>
    </row>
    <row r="313" spans="1:11" s="725" customFormat="1" ht="15.75" customHeight="1" thickBot="1" x14ac:dyDescent="0.25">
      <c r="B313" s="520" t="s">
        <v>123</v>
      </c>
      <c r="C313" s="577">
        <f>'Stmt Activities'!C28/1000</f>
        <v>0</v>
      </c>
      <c r="D313" s="578"/>
      <c r="E313" s="577">
        <f>'Stmt Activities'!E28/1000</f>
        <v>0</v>
      </c>
      <c r="F313" s="578"/>
      <c r="G313" s="577">
        <f>'Stmt Activities'!G28/1000</f>
        <v>50</v>
      </c>
      <c r="H313" s="578"/>
      <c r="I313" s="577" t="e">
        <f>'Stmt Activities'!I28/1000</f>
        <v>#REF!</v>
      </c>
      <c r="J313" s="578"/>
      <c r="K313" s="577">
        <f>'Stmt Activities'!K28/1000</f>
        <v>100</v>
      </c>
    </row>
    <row r="314" spans="1:11" s="725" customFormat="1" ht="15" customHeight="1" thickTop="1" x14ac:dyDescent="0.2">
      <c r="B314" s="525" t="s">
        <v>511</v>
      </c>
      <c r="C314" s="579">
        <f>SUM(C311:C313)</f>
        <v>675.4</v>
      </c>
      <c r="D314" s="552"/>
      <c r="E314" s="579">
        <f>SUM(E311:E313)</f>
        <v>1087.75</v>
      </c>
      <c r="F314" s="552"/>
      <c r="G314" s="579">
        <f>SUM(G311:G313)</f>
        <v>1044</v>
      </c>
      <c r="H314" s="552"/>
      <c r="I314" s="579" t="e">
        <f>SUM(I311:I313)</f>
        <v>#REF!</v>
      </c>
      <c r="J314" s="552"/>
      <c r="K314" s="579">
        <f>SUM(K311:K313)</f>
        <v>1393.12</v>
      </c>
    </row>
    <row r="315" spans="1:11" s="725" customFormat="1" ht="15" customHeight="1" thickBot="1" x14ac:dyDescent="0.25">
      <c r="B315" s="520" t="s">
        <v>49</v>
      </c>
      <c r="C315" s="577">
        <f>Sum!C38/1000</f>
        <v>637.5</v>
      </c>
      <c r="D315" s="578"/>
      <c r="E315" s="577">
        <f>Sum!E38/1000</f>
        <v>823.75</v>
      </c>
      <c r="F315" s="578"/>
      <c r="G315" s="577">
        <f>Sum!G38/1000</f>
        <v>1135</v>
      </c>
      <c r="H315" s="578"/>
      <c r="I315" s="577" t="e">
        <f>Sum!I38/1000</f>
        <v>#REF!</v>
      </c>
      <c r="J315" s="578"/>
      <c r="K315" s="577">
        <f>Sum!K38/1000</f>
        <v>1340.37</v>
      </c>
    </row>
    <row r="316" spans="1:11" s="725" customFormat="1" ht="18.75" customHeight="1" thickTop="1" thickBot="1" x14ac:dyDescent="0.25">
      <c r="B316" s="574" t="s">
        <v>50</v>
      </c>
      <c r="C316" s="580">
        <f>C314-C315</f>
        <v>37.899999999999977</v>
      </c>
      <c r="D316" s="581"/>
      <c r="E316" s="580">
        <f>E314-E315</f>
        <v>264</v>
      </c>
      <c r="F316" s="581"/>
      <c r="G316" s="580">
        <f>G314-G315</f>
        <v>-91</v>
      </c>
      <c r="H316" s="581"/>
      <c r="I316" s="580" t="e">
        <f>I314-I315</f>
        <v>#REF!</v>
      </c>
      <c r="J316" s="581"/>
      <c r="K316" s="580">
        <f>K314-K315</f>
        <v>52.75</v>
      </c>
    </row>
    <row r="317" spans="1:11" ht="15" customHeight="1" thickTop="1" x14ac:dyDescent="0.2">
      <c r="B317" s="536" t="s">
        <v>529</v>
      </c>
      <c r="C317" s="582"/>
      <c r="D317" s="583"/>
      <c r="E317" s="582"/>
      <c r="F317" s="583"/>
      <c r="G317" s="582"/>
      <c r="H317" s="583"/>
      <c r="I317" s="582"/>
      <c r="J317" s="583"/>
      <c r="K317" s="582"/>
    </row>
    <row r="318" spans="1:11" ht="29.25" customHeight="1" x14ac:dyDescent="0.2">
      <c r="B318" s="525" t="s">
        <v>546</v>
      </c>
      <c r="C318" s="584">
        <f>C316/C314</f>
        <v>5.6114894877109828E-2</v>
      </c>
      <c r="D318" s="552"/>
      <c r="E318" s="584">
        <f>E316/E314</f>
        <v>0.24270282693633646</v>
      </c>
      <c r="F318" s="552"/>
      <c r="G318" s="584">
        <f>G316/G314</f>
        <v>-8.7164750957854406E-2</v>
      </c>
      <c r="H318" s="552"/>
      <c r="I318" s="584" t="e">
        <f>I316/I314</f>
        <v>#REF!</v>
      </c>
      <c r="J318" s="552"/>
      <c r="K318" s="584">
        <f>K316/K314</f>
        <v>3.7864649132881595E-2</v>
      </c>
    </row>
    <row r="319" spans="1:11" ht="26.25" customHeight="1" x14ac:dyDescent="0.2">
      <c r="B319" s="476" t="s">
        <v>538</v>
      </c>
      <c r="C319" s="585" t="s">
        <v>436</v>
      </c>
      <c r="D319" s="559"/>
      <c r="E319" s="586">
        <f>(E312-C312)/ABS(C312)</f>
        <v>0.44046350559403313</v>
      </c>
      <c r="F319" s="559"/>
      <c r="G319" s="586">
        <f>(G312-E312)/ABS(E312)</f>
        <v>0.28340268146093389</v>
      </c>
      <c r="H319" s="559"/>
      <c r="I319" s="586" t="e">
        <f>(I312-G312)/ABS(G312)</f>
        <v>#REF!</v>
      </c>
      <c r="J319" s="559"/>
      <c r="K319" s="586" t="e">
        <f>(K312-I312)/ABS(I312)</f>
        <v>#REF!</v>
      </c>
    </row>
    <row r="320" spans="1:11" ht="25.5" x14ac:dyDescent="0.2">
      <c r="B320" s="476" t="s">
        <v>547</v>
      </c>
      <c r="C320" s="586">
        <f>C312/C315</f>
        <v>0.58886274509803915</v>
      </c>
      <c r="D320" s="559"/>
      <c r="E320" s="586">
        <f>E312/E315</f>
        <v>0.65644916540212439</v>
      </c>
      <c r="F320" s="559"/>
      <c r="G320" s="586">
        <f>G312/G315</f>
        <v>0.61145374449339207</v>
      </c>
      <c r="H320" s="559"/>
      <c r="I320" s="586" t="e">
        <f>I312/I315</f>
        <v>#REF!</v>
      </c>
      <c r="J320" s="559"/>
      <c r="K320" s="586">
        <f>K312/K315</f>
        <v>0.55441407969441281</v>
      </c>
    </row>
    <row r="321" spans="1:2" x14ac:dyDescent="0.2">
      <c r="B321" s="286" t="s">
        <v>620</v>
      </c>
    </row>
    <row r="323" spans="1:2" x14ac:dyDescent="0.2">
      <c r="A323" s="467" t="s">
        <v>512</v>
      </c>
    </row>
    <row r="345" spans="2:11" ht="13.5" thickBot="1" x14ac:dyDescent="0.25">
      <c r="C345" s="477" t="str">
        <f>+C310</f>
        <v>FY 200X</v>
      </c>
      <c r="D345" s="478"/>
      <c r="E345" s="477" t="str">
        <f>+E310</f>
        <v>FY 200X</v>
      </c>
      <c r="F345" s="477">
        <f t="shared" ref="F345:J345" si="6">+F281</f>
        <v>0</v>
      </c>
      <c r="G345" s="477" t="str">
        <f>+G310</f>
        <v>FY 200X</v>
      </c>
      <c r="H345" s="477">
        <f t="shared" si="6"/>
        <v>0</v>
      </c>
      <c r="I345" s="477" t="str">
        <f>+I310</f>
        <v>FY 200X</v>
      </c>
      <c r="J345" s="477">
        <f t="shared" si="6"/>
        <v>0</v>
      </c>
      <c r="K345" s="477" t="str">
        <f>+K310</f>
        <v>FY 200X</v>
      </c>
    </row>
    <row r="346" spans="2:11" x14ac:dyDescent="0.2">
      <c r="B346" s="286" t="s">
        <v>513</v>
      </c>
      <c r="C346" s="729">
        <f>'Stmt Activities'!C22</f>
        <v>50000</v>
      </c>
      <c r="E346" s="729">
        <f>'Stmt Activities'!E22</f>
        <v>75000</v>
      </c>
      <c r="G346" s="729">
        <f>'Stmt Activities'!G22</f>
        <v>80000</v>
      </c>
      <c r="I346" s="729" t="e">
        <f>'Stmt Activities'!I22</f>
        <v>#REF!</v>
      </c>
      <c r="K346" s="729">
        <f>'Stmt Activities'!K22</f>
        <v>202000</v>
      </c>
    </row>
    <row r="347" spans="2:11" x14ac:dyDescent="0.2">
      <c r="B347" s="286" t="s">
        <v>514</v>
      </c>
      <c r="C347" s="729">
        <f>'Stmt Activities'!C20</f>
        <v>200000</v>
      </c>
      <c r="E347" s="729">
        <f>'Stmt Activities'!E20</f>
        <v>300000</v>
      </c>
      <c r="G347" s="729">
        <f>'Stmt Activities'!G20</f>
        <v>408000</v>
      </c>
      <c r="I347" s="729" t="e">
        <f>'Stmt Activities'!I20</f>
        <v>#REF!</v>
      </c>
      <c r="K347" s="729">
        <f>'Stmt Activities'!K20</f>
        <v>250000</v>
      </c>
    </row>
    <row r="348" spans="2:11" x14ac:dyDescent="0.2">
      <c r="B348" s="286" t="s">
        <v>515</v>
      </c>
      <c r="C348" s="729">
        <f>'Stmt Activities'!C19</f>
        <v>25000</v>
      </c>
      <c r="E348" s="729">
        <f>'Stmt Activities'!E19</f>
        <v>40000</v>
      </c>
      <c r="G348" s="729">
        <f>'Stmt Activities'!G19</f>
        <v>55000</v>
      </c>
      <c r="I348" s="729" t="e">
        <f>'Stmt Activities'!I19</f>
        <v>#REF!</v>
      </c>
      <c r="K348" s="729">
        <f>'Stmt Activities'!K19</f>
        <v>90000</v>
      </c>
    </row>
    <row r="349" spans="2:11" ht="25.5" x14ac:dyDescent="0.2">
      <c r="B349" s="758" t="s">
        <v>548</v>
      </c>
      <c r="C349" s="729">
        <f>'Stmt Activities'!C9+'Stmt Activities'!C15</f>
        <v>400</v>
      </c>
      <c r="E349" s="729">
        <f>'Stmt Activities'!E9+'Stmt Activities'!E15</f>
        <v>750</v>
      </c>
      <c r="G349" s="729">
        <f>'Stmt Activities'!G9+'Stmt Activities'!G15</f>
        <v>1000</v>
      </c>
      <c r="I349" s="729" t="e">
        <f>'Stmt Activities'!I9+'Stmt Activities'!I15</f>
        <v>#REF!</v>
      </c>
      <c r="K349" s="729">
        <f>'Stmt Activities'!K9+'Stmt Activities'!K15</f>
        <v>1120</v>
      </c>
    </row>
    <row r="350" spans="2:11" x14ac:dyDescent="0.2">
      <c r="B350" s="286" t="s">
        <v>330</v>
      </c>
      <c r="C350" s="729">
        <f>'Stmt Activities'!C8</f>
        <v>100000</v>
      </c>
      <c r="E350" s="729">
        <f>'Stmt Activities'!E8</f>
        <v>125000</v>
      </c>
      <c r="G350" s="729">
        <f>'Stmt Activities'!G8</f>
        <v>150000</v>
      </c>
      <c r="I350" s="729" t="e">
        <f>'Stmt Activities'!I8</f>
        <v>#REF!</v>
      </c>
      <c r="K350" s="729">
        <f>'Stmt Activities'!K8</f>
        <v>200000</v>
      </c>
    </row>
    <row r="353" spans="1:1" x14ac:dyDescent="0.2">
      <c r="A353" s="467" t="s">
        <v>516</v>
      </c>
    </row>
    <row r="376" spans="1:11" ht="13.5" thickBot="1" x14ac:dyDescent="0.25">
      <c r="C376" s="477" t="str">
        <f>+C345</f>
        <v>FY 200X</v>
      </c>
      <c r="D376" s="478"/>
      <c r="E376" s="477" t="str">
        <f t="shared" ref="E376:K376" si="7">+E345</f>
        <v>FY 200X</v>
      </c>
      <c r="F376" s="477">
        <f t="shared" si="7"/>
        <v>0</v>
      </c>
      <c r="G376" s="477" t="str">
        <f t="shared" si="7"/>
        <v>FY 200X</v>
      </c>
      <c r="H376" s="477">
        <f t="shared" si="7"/>
        <v>0</v>
      </c>
      <c r="I376" s="477" t="str">
        <f t="shared" si="7"/>
        <v>FY 200X</v>
      </c>
      <c r="J376" s="477">
        <f t="shared" si="7"/>
        <v>0</v>
      </c>
      <c r="K376" s="477" t="str">
        <f t="shared" si="7"/>
        <v>FY 200X</v>
      </c>
    </row>
    <row r="377" spans="1:11" x14ac:dyDescent="0.2">
      <c r="B377" s="286" t="s">
        <v>517</v>
      </c>
      <c r="C377" s="729">
        <f>'Stmt Activities'!C38</f>
        <v>160000</v>
      </c>
      <c r="E377" s="729">
        <f>'Stmt Activities'!E38</f>
        <v>180000</v>
      </c>
      <c r="G377" s="729">
        <f>'Stmt Activities'!G38</f>
        <v>300000</v>
      </c>
      <c r="I377" s="729" t="e">
        <f>'Stmt Activities'!I38</f>
        <v>#REF!</v>
      </c>
      <c r="K377" s="729">
        <f>'Stmt Activities'!K38</f>
        <v>385350</v>
      </c>
    </row>
    <row r="378" spans="1:11" x14ac:dyDescent="0.2">
      <c r="B378" s="286" t="s">
        <v>45</v>
      </c>
      <c r="C378" s="729">
        <f>'Stmt Activities'!C35</f>
        <v>75000</v>
      </c>
      <c r="E378" s="729">
        <f>'Stmt Activities'!E35</f>
        <v>100000</v>
      </c>
      <c r="G378" s="729">
        <f>'Stmt Activities'!G35</f>
        <v>150000</v>
      </c>
      <c r="I378" s="729" t="e">
        <f>'Stmt Activities'!I35</f>
        <v>#REF!</v>
      </c>
      <c r="K378" s="729">
        <f>'Stmt Activities'!K35</f>
        <v>155000</v>
      </c>
    </row>
    <row r="379" spans="1:11" x14ac:dyDescent="0.2">
      <c r="B379" s="286" t="s">
        <v>518</v>
      </c>
      <c r="C379" s="729">
        <f>-'Stmt Activities'!C13</f>
        <v>125000</v>
      </c>
      <c r="E379" s="729">
        <f>-'Stmt Activities'!E13</f>
        <v>150000</v>
      </c>
      <c r="G379" s="729">
        <f>-'Stmt Activities'!G13</f>
        <v>200000</v>
      </c>
      <c r="I379" s="729" t="e">
        <f>-'Stmt Activities'!I13</f>
        <v>#REF!</v>
      </c>
      <c r="K379" s="729">
        <f>-'Stmt Activities'!K13</f>
        <v>125000</v>
      </c>
    </row>
    <row r="380" spans="1:11" x14ac:dyDescent="0.2">
      <c r="B380" s="286" t="s">
        <v>519</v>
      </c>
      <c r="C380" s="729">
        <f>-'Stmt Activities'!C11</f>
        <v>45000</v>
      </c>
      <c r="E380" s="729">
        <f>-'Stmt Activities'!E11</f>
        <v>60000</v>
      </c>
      <c r="G380" s="729">
        <f>-'Stmt Activities'!G11</f>
        <v>75000</v>
      </c>
      <c r="I380" s="729" t="e">
        <f>-'Stmt Activities'!I11</f>
        <v>#REF!</v>
      </c>
      <c r="K380" s="729">
        <f>-'Stmt Activities'!K11</f>
        <v>90000</v>
      </c>
    </row>
    <row r="381" spans="1:11" x14ac:dyDescent="0.2">
      <c r="B381" s="286" t="s">
        <v>44</v>
      </c>
      <c r="C381" s="729">
        <f>'Stmt Activities'!C34</f>
        <v>225000</v>
      </c>
      <c r="E381" s="729">
        <f>'Stmt Activities'!E34</f>
        <v>325000</v>
      </c>
      <c r="G381" s="729">
        <f>'Stmt Activities'!G34</f>
        <v>400000</v>
      </c>
      <c r="I381" s="729" t="e">
        <f>'Stmt Activities'!I34</f>
        <v>#REF!</v>
      </c>
      <c r="K381" s="729">
        <f>'Stmt Activities'!K34</f>
        <v>575000</v>
      </c>
    </row>
    <row r="384" spans="1:11" ht="19.5" x14ac:dyDescent="0.25">
      <c r="A384" s="480" t="s">
        <v>77</v>
      </c>
    </row>
    <row r="385" spans="1:13" ht="15" x14ac:dyDescent="0.2">
      <c r="A385" s="686"/>
    </row>
    <row r="386" spans="1:13" x14ac:dyDescent="0.2">
      <c r="A386" s="634" t="s">
        <v>613</v>
      </c>
    </row>
    <row r="387" spans="1:13" ht="18.75" customHeight="1" thickBot="1" x14ac:dyDescent="0.25">
      <c r="A387" s="712"/>
      <c r="B387" s="721"/>
      <c r="C387" s="551">
        <f>+C237</f>
        <v>40908</v>
      </c>
      <c r="D387" s="551"/>
      <c r="E387" s="551">
        <f>INPUT!E$5</f>
        <v>41274</v>
      </c>
      <c r="F387" s="551"/>
      <c r="G387" s="551">
        <f>INPUT!G$5</f>
        <v>41639</v>
      </c>
      <c r="H387" s="551"/>
      <c r="I387" s="551" t="e">
        <f>INPUT!#REF!</f>
        <v>#REF!</v>
      </c>
      <c r="J387" s="551"/>
      <c r="K387" s="551">
        <f>INPUT!I$5</f>
        <v>42004</v>
      </c>
      <c r="L387" s="551"/>
      <c r="M387" s="551" t="e">
        <f>INPUT!#REF!</f>
        <v>#REF!</v>
      </c>
    </row>
    <row r="388" spans="1:13" ht="15" customHeight="1" x14ac:dyDescent="0.2">
      <c r="A388" s="712"/>
      <c r="B388" s="475" t="s">
        <v>96</v>
      </c>
      <c r="C388" s="587">
        <f>Sum!C46</f>
        <v>2.3765227021040976</v>
      </c>
      <c r="D388" s="552"/>
      <c r="E388" s="587">
        <f>Sum!E46</f>
        <v>2.8535885167464117</v>
      </c>
      <c r="F388" s="552"/>
      <c r="G388" s="587">
        <f>Sum!G46</f>
        <v>2.0701219512195124</v>
      </c>
      <c r="H388" s="552"/>
      <c r="I388" s="587" t="e">
        <f>Sum!I46</f>
        <v>#REF!</v>
      </c>
      <c r="J388" s="552"/>
      <c r="K388" s="587">
        <f>Sum!K46</f>
        <v>2.6759209100758397</v>
      </c>
      <c r="L388" s="552"/>
      <c r="M388" s="587" t="e">
        <f>Sum!M46</f>
        <v>#REF!</v>
      </c>
    </row>
    <row r="389" spans="1:13" ht="15" customHeight="1" x14ac:dyDescent="0.2">
      <c r="A389" s="712"/>
      <c r="B389" s="759" t="s">
        <v>520</v>
      </c>
      <c r="C389" s="576">
        <f>Sum!C45</f>
        <v>1.4119601328903655</v>
      </c>
      <c r="D389" s="559"/>
      <c r="E389" s="576">
        <f>Sum!E45</f>
        <v>1.7464114832535884</v>
      </c>
      <c r="F389" s="559"/>
      <c r="G389" s="576">
        <f>Sum!G45</f>
        <v>1.2195121951219512</v>
      </c>
      <c r="H389" s="559"/>
      <c r="I389" s="576" t="e">
        <f>Sum!I45</f>
        <v>#REF!</v>
      </c>
      <c r="J389" s="559"/>
      <c r="K389" s="576">
        <f>Sum!K45</f>
        <v>1.6928494041170097</v>
      </c>
      <c r="L389" s="559"/>
      <c r="M389" s="576" t="e">
        <f>Sum!M45</f>
        <v>#REF!</v>
      </c>
    </row>
    <row r="390" spans="1:13" ht="15" customHeight="1" x14ac:dyDescent="0.2">
      <c r="A390" s="712"/>
      <c r="B390" s="484" t="s">
        <v>521</v>
      </c>
      <c r="C390" s="586">
        <f>Sum!C54</f>
        <v>0.75243747350572276</v>
      </c>
      <c r="D390" s="559"/>
      <c r="E390" s="586">
        <f>Sum!E54</f>
        <v>0.7455817378497791</v>
      </c>
      <c r="F390" s="559"/>
      <c r="G390" s="586">
        <f>Sum!G54</f>
        <v>0.98664238008500305</v>
      </c>
      <c r="H390" s="559"/>
      <c r="I390" s="586" t="e">
        <f>Sum!I54</f>
        <v>#REF!</v>
      </c>
      <c r="J390" s="559"/>
      <c r="K390" s="586">
        <f>Sum!K54</f>
        <v>0.77982541222114454</v>
      </c>
      <c r="L390" s="559"/>
      <c r="M390" s="586" t="e">
        <f>Sum!M54</f>
        <v>#REF!</v>
      </c>
    </row>
    <row r="391" spans="1:13" ht="15" customHeight="1" x14ac:dyDescent="0.2">
      <c r="A391" s="712"/>
      <c r="B391" s="484" t="s">
        <v>289</v>
      </c>
      <c r="C391" s="588">
        <f>Sum!C47</f>
        <v>6.5346534653465342</v>
      </c>
      <c r="D391" s="559"/>
      <c r="E391" s="588">
        <f>Sum!E47</f>
        <v>5.8646616541353387</v>
      </c>
      <c r="F391" s="559"/>
      <c r="G391" s="588">
        <f>Sum!G47</f>
        <v>8.4324324324324333</v>
      </c>
      <c r="H391" s="559"/>
      <c r="I391" s="588" t="e">
        <f>Sum!I47</f>
        <v>#REF!</v>
      </c>
      <c r="J391" s="559"/>
      <c r="K391" s="588">
        <f>Sum!K47</f>
        <v>3.7333554569212262</v>
      </c>
      <c r="L391" s="559"/>
      <c r="M391" s="588" t="e">
        <f>Sum!M47</f>
        <v>#REF!</v>
      </c>
    </row>
    <row r="392" spans="1:13" x14ac:dyDescent="0.2">
      <c r="A392" s="712"/>
    </row>
  </sheetData>
  <mergeCells count="14">
    <mergeCell ref="B101:K101"/>
    <mergeCell ref="B131:C131"/>
    <mergeCell ref="B132:C132"/>
    <mergeCell ref="C202:K202"/>
    <mergeCell ref="B133:C133"/>
    <mergeCell ref="B128:C128"/>
    <mergeCell ref="B135:C135"/>
    <mergeCell ref="B134:C134"/>
    <mergeCell ref="B136:C136"/>
    <mergeCell ref="B300:I300"/>
    <mergeCell ref="B137:C137"/>
    <mergeCell ref="B118:E118"/>
    <mergeCell ref="C227:I227"/>
    <mergeCell ref="Q255:S255"/>
  </mergeCells>
  <phoneticPr fontId="3"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39"/>
  <sheetViews>
    <sheetView topLeftCell="A111" zoomScale="85" workbookViewId="0">
      <selection activeCell="O11" sqref="O11"/>
    </sheetView>
  </sheetViews>
  <sheetFormatPr defaultRowHeight="12.75" x14ac:dyDescent="0.2"/>
  <cols>
    <col min="2" max="2" width="34.6640625" customWidth="1"/>
    <col min="3" max="3" width="14.5" bestFit="1" customWidth="1"/>
    <col min="4" max="4" width="13" hidden="1" customWidth="1"/>
    <col min="5" max="5" width="14.5" bestFit="1" customWidth="1"/>
    <col min="6" max="6" width="13" hidden="1" customWidth="1"/>
    <col min="7" max="7" width="14.5" bestFit="1" customWidth="1"/>
    <col min="8" max="8" width="13" hidden="1" customWidth="1"/>
    <col min="9" max="9" width="14.5" bestFit="1" customWidth="1"/>
    <col min="10" max="10" width="13" hidden="1" customWidth="1"/>
    <col min="11" max="11" width="14.5" bestFit="1" customWidth="1"/>
    <col min="12" max="12" width="0" hidden="1" customWidth="1"/>
    <col min="14" max="14" width="0" hidden="1" customWidth="1"/>
    <col min="16" max="16" width="0" hidden="1" customWidth="1"/>
  </cols>
  <sheetData>
    <row r="1" spans="1:14" ht="19.5" x14ac:dyDescent="0.25">
      <c r="A1" s="285" t="s">
        <v>335</v>
      </c>
      <c r="B1" s="286"/>
      <c r="C1" s="286"/>
      <c r="D1" s="286"/>
      <c r="E1" s="286"/>
      <c r="F1" s="286"/>
      <c r="G1" s="286"/>
      <c r="H1" s="286"/>
      <c r="I1" s="286"/>
      <c r="J1" s="286"/>
      <c r="K1" s="286"/>
      <c r="L1" s="286"/>
      <c r="M1" s="286"/>
      <c r="N1" s="286"/>
    </row>
    <row r="2" spans="1:14" x14ac:dyDescent="0.2">
      <c r="A2" s="286"/>
      <c r="B2" s="286"/>
      <c r="C2" s="286"/>
      <c r="D2" s="286"/>
      <c r="E2" s="286"/>
      <c r="F2" s="286"/>
      <c r="G2" s="286"/>
      <c r="H2" s="286"/>
      <c r="I2" s="286"/>
      <c r="J2" s="286"/>
      <c r="K2" s="286"/>
      <c r="L2" s="286"/>
      <c r="M2" s="286"/>
      <c r="N2" s="286"/>
    </row>
    <row r="3" spans="1:14" x14ac:dyDescent="0.2">
      <c r="A3" s="286"/>
      <c r="B3" s="287"/>
      <c r="C3" s="288">
        <f>'Stmt Position'!C4</f>
        <v>40908</v>
      </c>
      <c r="D3" s="288"/>
      <c r="E3" s="288">
        <f>'Stmt Position'!E4</f>
        <v>41274</v>
      </c>
      <c r="F3" s="288"/>
      <c r="G3" s="288">
        <f>'Stmt Position'!G4</f>
        <v>41639</v>
      </c>
      <c r="H3" s="288"/>
      <c r="I3" s="288" t="e">
        <f>'Stmt Position'!#REF!</f>
        <v>#REF!</v>
      </c>
      <c r="J3" s="288"/>
      <c r="K3" s="288">
        <f>'Stmt Position'!I4</f>
        <v>42004</v>
      </c>
      <c r="L3" s="289"/>
      <c r="M3" s="286"/>
      <c r="N3" s="286"/>
    </row>
    <row r="4" spans="1:14" x14ac:dyDescent="0.2">
      <c r="A4" s="286"/>
      <c r="B4" s="290" t="s">
        <v>114</v>
      </c>
      <c r="C4" s="291">
        <f>'Stmt Position'!C32</f>
        <v>4796000</v>
      </c>
      <c r="D4" s="291"/>
      <c r="E4" s="291">
        <f>'Stmt Position'!E32</f>
        <v>5777000</v>
      </c>
      <c r="F4" s="291"/>
      <c r="G4" s="291">
        <f>'Stmt Position'!G32</f>
        <v>6656000</v>
      </c>
      <c r="H4" s="291"/>
      <c r="I4" s="291" t="e">
        <f>'Stmt Position'!#REF!</f>
        <v>#REF!</v>
      </c>
      <c r="J4" s="291"/>
      <c r="K4" s="291">
        <f>'Stmt Position'!I32</f>
        <v>8064750</v>
      </c>
      <c r="L4" s="286"/>
      <c r="M4" s="286"/>
      <c r="N4" s="286"/>
    </row>
    <row r="5" spans="1:14" x14ac:dyDescent="0.2">
      <c r="A5" s="286"/>
      <c r="B5" s="290" t="s">
        <v>12</v>
      </c>
      <c r="C5" s="292">
        <f>'Stmt Position'!C64</f>
        <v>1968000</v>
      </c>
      <c r="D5" s="292"/>
      <c r="E5" s="292">
        <f>'Stmt Position'!E64</f>
        <v>2332000</v>
      </c>
      <c r="F5" s="292"/>
      <c r="G5" s="292">
        <f>'Stmt Position'!G64</f>
        <v>2441000</v>
      </c>
      <c r="H5" s="292"/>
      <c r="I5" s="292" t="e">
        <f>'Stmt Position'!#REF!</f>
        <v>#REF!</v>
      </c>
      <c r="J5" s="292"/>
      <c r="K5" s="292">
        <f>'Stmt Position'!I64</f>
        <v>2443750</v>
      </c>
      <c r="L5" s="286"/>
      <c r="M5" s="286"/>
      <c r="N5" s="286"/>
    </row>
    <row r="6" spans="1:14" x14ac:dyDescent="0.2">
      <c r="A6" s="286"/>
      <c r="B6" s="293" t="s">
        <v>14</v>
      </c>
      <c r="C6" s="294">
        <f>'Stmt Position'!C56+'Stmt Position'!C57+'Stmt Position'!C58</f>
        <v>1468000</v>
      </c>
      <c r="D6" s="294"/>
      <c r="E6" s="294">
        <f>'Stmt Position'!E56+'Stmt Position'!E57+'Stmt Position'!E58</f>
        <v>1532000</v>
      </c>
      <c r="F6" s="294"/>
      <c r="G6" s="294">
        <f>'Stmt Position'!G56+'Stmt Position'!G57+'Stmt Position'!G58</f>
        <v>1741000</v>
      </c>
      <c r="H6" s="294"/>
      <c r="I6" s="294" t="e">
        <f>'Stmt Position'!#REF!+'Stmt Position'!#REF!+'Stmt Position'!#REF!</f>
        <v>#REF!</v>
      </c>
      <c r="J6" s="294"/>
      <c r="K6" s="294">
        <f>'Stmt Position'!I56+'Stmt Position'!I57+'Stmt Position'!I58</f>
        <v>1443750</v>
      </c>
      <c r="L6" s="286"/>
      <c r="M6" s="286"/>
      <c r="N6" s="286"/>
    </row>
    <row r="7" spans="1:14" x14ac:dyDescent="0.2">
      <c r="A7" s="286"/>
      <c r="B7" s="286"/>
      <c r="C7" s="286"/>
      <c r="D7" s="286"/>
      <c r="E7" s="286"/>
      <c r="F7" s="286"/>
      <c r="G7" s="286"/>
      <c r="H7" s="286"/>
      <c r="I7" s="286"/>
      <c r="J7" s="286"/>
      <c r="K7" s="286"/>
      <c r="L7" s="286"/>
      <c r="M7" s="286"/>
      <c r="N7" s="286"/>
    </row>
    <row r="8" spans="1:14" x14ac:dyDescent="0.2">
      <c r="A8" s="286"/>
      <c r="B8" s="286"/>
      <c r="C8" s="286"/>
      <c r="D8" s="286"/>
      <c r="E8" s="286"/>
      <c r="F8" s="286"/>
      <c r="G8" s="286"/>
      <c r="H8" s="286"/>
      <c r="I8" s="286"/>
      <c r="J8" s="286"/>
      <c r="K8" s="286"/>
      <c r="L8" s="286"/>
      <c r="M8" s="286"/>
      <c r="N8" s="286"/>
    </row>
    <row r="9" spans="1:14" x14ac:dyDescent="0.2">
      <c r="A9" s="286"/>
      <c r="B9" s="286"/>
      <c r="C9" s="286"/>
      <c r="D9" s="286"/>
      <c r="E9" s="286"/>
      <c r="F9" s="286"/>
      <c r="G9" s="286"/>
      <c r="H9" s="286"/>
      <c r="I9" s="286"/>
      <c r="J9" s="286"/>
      <c r="K9" s="286"/>
      <c r="L9" s="286"/>
      <c r="M9" s="286"/>
      <c r="N9" s="286"/>
    </row>
    <row r="10" spans="1:14" x14ac:dyDescent="0.2">
      <c r="A10" s="286"/>
      <c r="B10" s="286"/>
      <c r="C10" s="286"/>
      <c r="D10" s="286"/>
      <c r="E10" s="286"/>
      <c r="F10" s="286"/>
      <c r="G10" s="286"/>
      <c r="H10" s="286"/>
      <c r="I10" s="286"/>
      <c r="J10" s="286"/>
      <c r="K10" s="286"/>
      <c r="L10" s="286"/>
      <c r="M10" s="286"/>
      <c r="N10" s="286"/>
    </row>
    <row r="11" spans="1:14" x14ac:dyDescent="0.2">
      <c r="A11" s="286"/>
      <c r="B11" s="286"/>
      <c r="C11" s="286"/>
      <c r="D11" s="286"/>
      <c r="E11" s="286"/>
      <c r="F11" s="286"/>
      <c r="G11" s="286"/>
      <c r="H11" s="286"/>
      <c r="I11" s="286"/>
      <c r="J11" s="286"/>
      <c r="K11" s="286"/>
      <c r="L11" s="286"/>
      <c r="M11" s="286"/>
      <c r="N11" s="286"/>
    </row>
    <row r="12" spans="1:14" x14ac:dyDescent="0.2">
      <c r="A12" s="286"/>
      <c r="B12" s="286"/>
      <c r="C12" s="286"/>
      <c r="D12" s="286"/>
      <c r="E12" s="286"/>
      <c r="F12" s="286"/>
      <c r="G12" s="286"/>
      <c r="H12" s="286"/>
      <c r="I12" s="286"/>
      <c r="J12" s="286"/>
      <c r="K12" s="286"/>
      <c r="L12" s="286"/>
      <c r="M12" s="286"/>
      <c r="N12" s="286"/>
    </row>
    <row r="13" spans="1:14" x14ac:dyDescent="0.2">
      <c r="A13" s="286"/>
      <c r="B13" s="286"/>
      <c r="C13" s="286"/>
      <c r="D13" s="286"/>
      <c r="E13" s="286"/>
      <c r="F13" s="286"/>
      <c r="G13" s="286"/>
      <c r="H13" s="286"/>
      <c r="I13" s="286"/>
      <c r="J13" s="286"/>
      <c r="K13" s="286"/>
      <c r="L13" s="286"/>
      <c r="M13" s="286"/>
      <c r="N13" s="286"/>
    </row>
    <row r="14" spans="1:14" x14ac:dyDescent="0.2">
      <c r="A14" s="286"/>
      <c r="B14" s="286"/>
      <c r="C14" s="286"/>
      <c r="D14" s="286"/>
      <c r="E14" s="286"/>
      <c r="F14" s="286"/>
      <c r="G14" s="286"/>
      <c r="H14" s="286"/>
      <c r="I14" s="286"/>
      <c r="J14" s="286"/>
      <c r="K14" s="286"/>
      <c r="L14" s="286"/>
      <c r="M14" s="286"/>
      <c r="N14" s="286"/>
    </row>
    <row r="15" spans="1:14" x14ac:dyDescent="0.2">
      <c r="A15" s="286"/>
      <c r="B15" s="286"/>
      <c r="C15" s="286"/>
      <c r="D15" s="286"/>
      <c r="E15" s="286"/>
      <c r="F15" s="286"/>
      <c r="G15" s="286"/>
      <c r="H15" s="286"/>
      <c r="I15" s="286"/>
      <c r="J15" s="286"/>
      <c r="K15" s="286"/>
      <c r="L15" s="286"/>
      <c r="M15" s="286"/>
      <c r="N15" s="286"/>
    </row>
    <row r="16" spans="1:14" x14ac:dyDescent="0.2">
      <c r="A16" s="286"/>
      <c r="B16" s="286"/>
      <c r="C16" s="286"/>
      <c r="D16" s="286"/>
      <c r="E16" s="286"/>
      <c r="F16" s="286"/>
      <c r="G16" s="286"/>
      <c r="H16" s="286"/>
      <c r="I16" s="286"/>
      <c r="J16" s="286"/>
      <c r="K16" s="286"/>
      <c r="L16" s="286"/>
      <c r="M16" s="286"/>
      <c r="N16" s="286"/>
    </row>
    <row r="17" spans="1:16" x14ac:dyDescent="0.2">
      <c r="A17" s="286"/>
      <c r="B17" s="286"/>
      <c r="C17" s="286"/>
      <c r="D17" s="286"/>
      <c r="E17" s="286"/>
      <c r="F17" s="286"/>
      <c r="G17" s="286"/>
      <c r="H17" s="286"/>
      <c r="I17" s="286"/>
      <c r="J17" s="286"/>
      <c r="K17" s="286"/>
      <c r="L17" s="286"/>
      <c r="M17" s="286"/>
      <c r="N17" s="286"/>
    </row>
    <row r="18" spans="1:16" x14ac:dyDescent="0.2">
      <c r="A18" s="286"/>
      <c r="B18" s="286"/>
      <c r="C18" s="286"/>
      <c r="D18" s="286"/>
      <c r="E18" s="286"/>
      <c r="F18" s="286"/>
      <c r="G18" s="286"/>
      <c r="H18" s="286"/>
      <c r="I18" s="286"/>
      <c r="J18" s="286"/>
      <c r="K18" s="286"/>
      <c r="L18" s="286"/>
      <c r="M18" s="286"/>
      <c r="N18" s="286"/>
    </row>
    <row r="19" spans="1:16" ht="12.75" customHeight="1" x14ac:dyDescent="0.2">
      <c r="A19" s="286"/>
      <c r="B19" s="286"/>
      <c r="C19" s="286"/>
      <c r="D19" s="286"/>
      <c r="E19" s="286"/>
      <c r="F19" s="286"/>
      <c r="G19" s="286"/>
      <c r="H19" s="286"/>
      <c r="I19" s="286"/>
      <c r="J19" s="286"/>
      <c r="K19" s="286"/>
      <c r="L19" s="286"/>
      <c r="M19" s="286"/>
      <c r="N19" s="286"/>
    </row>
    <row r="20" spans="1:16" x14ac:dyDescent="0.2">
      <c r="A20" s="286"/>
      <c r="B20" s="286"/>
      <c r="C20" s="286"/>
      <c r="D20" s="286"/>
      <c r="E20" s="286"/>
      <c r="F20" s="286"/>
      <c r="G20" s="286"/>
      <c r="H20" s="286"/>
      <c r="I20" s="286"/>
      <c r="J20" s="286"/>
      <c r="K20" s="286"/>
      <c r="L20" s="286"/>
      <c r="M20" s="286"/>
      <c r="N20" s="286"/>
    </row>
    <row r="21" spans="1:16" x14ac:dyDescent="0.2">
      <c r="A21" s="286"/>
      <c r="B21" s="286"/>
      <c r="C21" s="286"/>
      <c r="D21" s="286"/>
      <c r="E21" s="286"/>
      <c r="F21" s="286"/>
      <c r="G21" s="286"/>
      <c r="H21" s="286"/>
      <c r="I21" s="286"/>
      <c r="J21" s="286"/>
      <c r="K21" s="286"/>
      <c r="L21" s="286"/>
      <c r="M21" s="286"/>
      <c r="N21" s="286"/>
    </row>
    <row r="22" spans="1:16" x14ac:dyDescent="0.2">
      <c r="A22" s="286"/>
      <c r="B22" s="286"/>
      <c r="C22" s="286"/>
      <c r="D22" s="286"/>
      <c r="E22" s="286"/>
      <c r="F22" s="286"/>
      <c r="G22" s="286"/>
      <c r="H22" s="286"/>
      <c r="I22" s="286"/>
      <c r="J22" s="286"/>
      <c r="K22" s="286"/>
      <c r="L22" s="286"/>
      <c r="M22" s="286"/>
      <c r="N22" s="286"/>
    </row>
    <row r="23" spans="1:16" ht="19.5" x14ac:dyDescent="0.25">
      <c r="A23" s="285" t="s">
        <v>98</v>
      </c>
      <c r="B23" s="286"/>
      <c r="C23" s="286"/>
      <c r="D23" s="286"/>
      <c r="E23" s="286"/>
      <c r="F23" s="286"/>
      <c r="G23" s="286"/>
      <c r="H23" s="286"/>
      <c r="I23" s="286"/>
      <c r="J23" s="286"/>
      <c r="K23" s="286"/>
      <c r="L23" s="286"/>
      <c r="M23" s="286"/>
      <c r="N23" s="286"/>
    </row>
    <row r="24" spans="1:16" x14ac:dyDescent="0.2">
      <c r="A24" s="286"/>
      <c r="B24" s="286"/>
      <c r="C24" s="286"/>
      <c r="D24" s="286"/>
      <c r="E24" s="286"/>
      <c r="F24" s="286"/>
      <c r="G24" s="286"/>
      <c r="H24" s="286"/>
      <c r="I24" s="286"/>
      <c r="J24" s="286"/>
      <c r="K24" s="286"/>
      <c r="L24" s="286"/>
      <c r="M24" s="286"/>
      <c r="N24" s="286"/>
    </row>
    <row r="25" spans="1:16" x14ac:dyDescent="0.2">
      <c r="A25" s="286"/>
      <c r="B25" s="286"/>
      <c r="C25" s="286"/>
      <c r="D25" s="286"/>
      <c r="E25" s="286"/>
      <c r="F25" s="286"/>
      <c r="G25" s="286"/>
      <c r="H25" s="286"/>
      <c r="I25" s="286"/>
      <c r="J25" s="286"/>
      <c r="K25" s="286"/>
      <c r="L25" s="286"/>
      <c r="M25" s="286"/>
      <c r="N25" s="286"/>
    </row>
    <row r="26" spans="1:16" x14ac:dyDescent="0.2">
      <c r="A26" s="433"/>
      <c r="B26" s="434"/>
      <c r="C26" s="435">
        <f>Sum!C3</f>
        <v>40908</v>
      </c>
      <c r="D26" s="435"/>
      <c r="E26" s="435">
        <f>Sum!E3</f>
        <v>41274</v>
      </c>
      <c r="F26" s="435"/>
      <c r="G26" s="435">
        <f>Sum!G3</f>
        <v>41639</v>
      </c>
      <c r="H26" s="435"/>
      <c r="I26" s="435" t="e">
        <f>Sum!I3</f>
        <v>#REF!</v>
      </c>
      <c r="J26" s="435"/>
      <c r="K26" s="435">
        <f>Sum!K3</f>
        <v>42004</v>
      </c>
      <c r="L26" s="436"/>
      <c r="M26" s="436"/>
      <c r="N26" s="436"/>
      <c r="O26" s="42"/>
      <c r="P26" s="42"/>
    </row>
    <row r="27" spans="1:16" x14ac:dyDescent="0.2">
      <c r="A27" s="286"/>
      <c r="B27" s="437" t="s">
        <v>391</v>
      </c>
      <c r="C27" s="291">
        <f>Sum!C49</f>
        <v>3550000</v>
      </c>
      <c r="D27" s="291"/>
      <c r="E27" s="291">
        <f>Sum!E49</f>
        <v>4050000</v>
      </c>
      <c r="F27" s="291"/>
      <c r="G27" s="291">
        <f>Sum!G49</f>
        <v>4875000</v>
      </c>
      <c r="H27" s="291"/>
      <c r="I27" s="291" t="e">
        <f>Sum!I49</f>
        <v>#REF!</v>
      </c>
      <c r="J27" s="291"/>
      <c r="K27" s="291">
        <f>Sum!K49</f>
        <v>5025000</v>
      </c>
      <c r="L27" s="438"/>
      <c r="M27" s="297"/>
      <c r="N27" s="438"/>
      <c r="O27" s="343"/>
      <c r="P27" s="439"/>
    </row>
    <row r="28" spans="1:16" x14ac:dyDescent="0.2">
      <c r="A28" s="286"/>
      <c r="B28" s="286"/>
      <c r="C28" s="286"/>
      <c r="D28" s="286"/>
      <c r="E28" s="286"/>
      <c r="F28" s="286"/>
      <c r="G28" s="286"/>
      <c r="H28" s="286"/>
      <c r="I28" s="286"/>
      <c r="J28" s="286"/>
      <c r="K28" s="286"/>
      <c r="L28" s="286"/>
      <c r="M28" s="286"/>
      <c r="N28" s="286"/>
    </row>
    <row r="29" spans="1:16" x14ac:dyDescent="0.2">
      <c r="A29" s="286"/>
      <c r="B29" s="286"/>
      <c r="C29" s="286"/>
      <c r="D29" s="286"/>
      <c r="E29" s="286"/>
      <c r="F29" s="286"/>
      <c r="G29" s="286"/>
      <c r="H29" s="286"/>
      <c r="I29" s="286"/>
      <c r="J29" s="286"/>
      <c r="K29" s="286"/>
      <c r="L29" s="286"/>
      <c r="M29" s="286"/>
      <c r="N29" s="286"/>
    </row>
    <row r="30" spans="1:16" x14ac:dyDescent="0.2">
      <c r="A30" s="286"/>
      <c r="B30" s="286"/>
      <c r="C30" s="286"/>
      <c r="D30" s="286"/>
      <c r="E30" s="286"/>
      <c r="F30" s="286"/>
      <c r="G30" s="286"/>
      <c r="H30" s="286"/>
      <c r="I30" s="286"/>
      <c r="J30" s="286"/>
      <c r="K30" s="286"/>
      <c r="L30" s="286"/>
      <c r="M30" s="286"/>
      <c r="N30" s="286"/>
    </row>
    <row r="31" spans="1:16" x14ac:dyDescent="0.2">
      <c r="A31" s="286"/>
      <c r="B31" s="286"/>
      <c r="C31" s="286"/>
      <c r="D31" s="286"/>
      <c r="E31" s="286"/>
      <c r="F31" s="286"/>
      <c r="G31" s="286"/>
      <c r="H31" s="286"/>
      <c r="I31" s="286"/>
      <c r="J31" s="286"/>
      <c r="K31" s="286"/>
      <c r="L31" s="286"/>
      <c r="M31" s="286"/>
      <c r="N31" s="286"/>
    </row>
    <row r="32" spans="1:16" x14ac:dyDescent="0.2">
      <c r="A32" s="286"/>
      <c r="B32" s="286"/>
      <c r="C32" s="286"/>
      <c r="D32" s="286"/>
      <c r="E32" s="286"/>
      <c r="F32" s="286"/>
      <c r="G32" s="286"/>
      <c r="H32" s="286"/>
      <c r="I32" s="286"/>
      <c r="J32" s="286"/>
      <c r="K32" s="286"/>
      <c r="L32" s="286"/>
      <c r="M32" s="286"/>
      <c r="N32" s="286"/>
    </row>
    <row r="33" spans="1:14" x14ac:dyDescent="0.2">
      <c r="A33" s="286"/>
      <c r="B33" s="286"/>
      <c r="C33" s="286"/>
      <c r="D33" s="286"/>
      <c r="E33" s="286"/>
      <c r="F33" s="286"/>
      <c r="G33" s="286"/>
      <c r="H33" s="286"/>
      <c r="I33" s="286"/>
      <c r="J33" s="286"/>
      <c r="K33" s="286"/>
      <c r="L33" s="286"/>
      <c r="M33" s="286"/>
      <c r="N33" s="286"/>
    </row>
    <row r="34" spans="1:14" x14ac:dyDescent="0.2">
      <c r="A34" s="286"/>
      <c r="B34" s="286"/>
      <c r="C34" s="286"/>
      <c r="D34" s="286"/>
      <c r="E34" s="286"/>
      <c r="F34" s="286"/>
      <c r="G34" s="286"/>
      <c r="H34" s="286"/>
      <c r="I34" s="286"/>
      <c r="J34" s="286"/>
      <c r="K34" s="286"/>
      <c r="L34" s="286"/>
      <c r="M34" s="286"/>
      <c r="N34" s="286"/>
    </row>
    <row r="35" spans="1:14" x14ac:dyDescent="0.2">
      <c r="A35" s="286"/>
      <c r="B35" s="286"/>
      <c r="C35" s="286"/>
      <c r="D35" s="286"/>
      <c r="E35" s="286"/>
      <c r="F35" s="286"/>
      <c r="G35" s="286"/>
      <c r="H35" s="286"/>
      <c r="I35" s="286"/>
      <c r="J35" s="286"/>
      <c r="K35" s="286"/>
      <c r="L35" s="286"/>
      <c r="M35" s="286"/>
      <c r="N35" s="286"/>
    </row>
    <row r="36" spans="1:14" x14ac:dyDescent="0.2">
      <c r="A36" s="286"/>
      <c r="B36" s="286"/>
      <c r="C36" s="286"/>
      <c r="D36" s="286"/>
      <c r="E36" s="286"/>
      <c r="F36" s="286"/>
      <c r="G36" s="286"/>
      <c r="H36" s="286"/>
      <c r="I36" s="286"/>
      <c r="J36" s="286"/>
      <c r="K36" s="286"/>
      <c r="L36" s="286"/>
      <c r="M36" s="286"/>
      <c r="N36" s="286"/>
    </row>
    <row r="37" spans="1:14" x14ac:dyDescent="0.2">
      <c r="A37" s="286"/>
      <c r="B37" s="286"/>
      <c r="C37" s="286"/>
      <c r="D37" s="286"/>
      <c r="E37" s="286"/>
      <c r="F37" s="286"/>
      <c r="G37" s="286"/>
      <c r="H37" s="286"/>
      <c r="I37" s="286"/>
      <c r="J37" s="286"/>
      <c r="K37" s="286"/>
      <c r="L37" s="286"/>
      <c r="M37" s="286"/>
      <c r="N37" s="286"/>
    </row>
    <row r="38" spans="1:14" x14ac:dyDescent="0.2">
      <c r="A38" s="286"/>
      <c r="B38" s="286"/>
      <c r="C38" s="286"/>
      <c r="D38" s="286"/>
      <c r="E38" s="286"/>
      <c r="F38" s="286"/>
      <c r="G38" s="286"/>
      <c r="H38" s="286"/>
      <c r="I38" s="286"/>
      <c r="J38" s="286"/>
      <c r="K38" s="286"/>
      <c r="L38" s="286"/>
      <c r="M38" s="286"/>
      <c r="N38" s="286"/>
    </row>
    <row r="39" spans="1:14" x14ac:dyDescent="0.2">
      <c r="A39" s="286"/>
      <c r="B39" s="286"/>
      <c r="C39" s="286"/>
      <c r="D39" s="286"/>
      <c r="E39" s="286"/>
      <c r="F39" s="286"/>
      <c r="G39" s="286"/>
      <c r="H39" s="286"/>
      <c r="I39" s="286"/>
      <c r="J39" s="286"/>
      <c r="K39" s="286"/>
      <c r="L39" s="286"/>
      <c r="M39" s="286"/>
      <c r="N39" s="286"/>
    </row>
    <row r="40" spans="1:14" x14ac:dyDescent="0.2">
      <c r="A40" s="286"/>
      <c r="B40" s="286"/>
      <c r="C40" s="286"/>
      <c r="D40" s="286"/>
      <c r="E40" s="286"/>
      <c r="F40" s="286"/>
      <c r="G40" s="286"/>
      <c r="H40" s="286"/>
      <c r="I40" s="286"/>
      <c r="J40" s="286"/>
      <c r="K40" s="286"/>
      <c r="L40" s="286"/>
      <c r="M40" s="286"/>
      <c r="N40" s="286"/>
    </row>
    <row r="41" spans="1:14" x14ac:dyDescent="0.2">
      <c r="A41" s="286"/>
      <c r="B41" s="286"/>
      <c r="C41" s="286"/>
      <c r="D41" s="286"/>
      <c r="E41" s="286"/>
      <c r="F41" s="286"/>
      <c r="G41" s="286"/>
      <c r="H41" s="286"/>
      <c r="I41" s="286"/>
      <c r="J41" s="286"/>
      <c r="K41" s="286"/>
      <c r="L41" s="286"/>
      <c r="M41" s="286"/>
      <c r="N41" s="286"/>
    </row>
    <row r="42" spans="1:14" x14ac:dyDescent="0.2">
      <c r="A42" s="286"/>
      <c r="B42" s="286"/>
      <c r="C42" s="286"/>
      <c r="D42" s="286"/>
      <c r="E42" s="286"/>
      <c r="F42" s="286"/>
      <c r="G42" s="286"/>
      <c r="H42" s="286"/>
      <c r="I42" s="286"/>
      <c r="J42" s="286"/>
      <c r="K42" s="286"/>
      <c r="L42" s="286"/>
      <c r="M42" s="286"/>
      <c r="N42" s="286"/>
    </row>
    <row r="43" spans="1:14" ht="19.5" x14ac:dyDescent="0.25">
      <c r="A43" s="285" t="s">
        <v>392</v>
      </c>
      <c r="B43" s="286"/>
      <c r="C43" s="286"/>
      <c r="D43" s="286"/>
      <c r="E43" s="286"/>
      <c r="F43" s="286"/>
      <c r="G43" s="286"/>
      <c r="H43" s="286"/>
      <c r="I43" s="286"/>
      <c r="J43" s="286"/>
      <c r="K43" s="286"/>
      <c r="L43" s="286"/>
      <c r="M43" s="286"/>
      <c r="N43" s="286"/>
    </row>
    <row r="44" spans="1:14" x14ac:dyDescent="0.2">
      <c r="A44" s="286"/>
      <c r="B44" s="286"/>
      <c r="C44" s="435">
        <f>'Stmt Position'!C4</f>
        <v>40908</v>
      </c>
      <c r="D44" s="435"/>
      <c r="E44" s="435">
        <f>'Stmt Position'!E4</f>
        <v>41274</v>
      </c>
      <c r="F44" s="435"/>
      <c r="G44" s="435">
        <f>'Stmt Position'!G4</f>
        <v>41639</v>
      </c>
      <c r="H44" s="435"/>
      <c r="I44" s="435" t="e">
        <f>'Stmt Position'!#REF!</f>
        <v>#REF!</v>
      </c>
      <c r="J44" s="435"/>
      <c r="K44" s="435">
        <f>'Stmt Position'!I4</f>
        <v>42004</v>
      </c>
      <c r="L44" s="286"/>
      <c r="M44" s="286"/>
      <c r="N44" s="286"/>
    </row>
    <row r="45" spans="1:14" x14ac:dyDescent="0.2">
      <c r="A45" s="286"/>
      <c r="B45" s="437" t="s">
        <v>78</v>
      </c>
      <c r="C45" s="291">
        <f>'Stmt Position'!C7+'Stmt Position'!C8</f>
        <v>1275000</v>
      </c>
      <c r="D45" s="291"/>
      <c r="E45" s="291">
        <f>'Stmt Position'!E7+'Stmt Position'!E8</f>
        <v>1825000</v>
      </c>
      <c r="F45" s="291"/>
      <c r="G45" s="291">
        <f>'Stmt Position'!G7+'Stmt Position'!G8</f>
        <v>2000000</v>
      </c>
      <c r="H45" s="291"/>
      <c r="I45" s="291" t="e">
        <f>'Stmt Position'!#REF!+'Stmt Position'!#REF!</f>
        <v>#REF!</v>
      </c>
      <c r="J45" s="291"/>
      <c r="K45" s="291">
        <f>'Stmt Position'!I7+'Stmt Position'!I8</f>
        <v>3125000</v>
      </c>
      <c r="L45" s="286"/>
      <c r="M45" s="286"/>
      <c r="N45" s="286"/>
    </row>
    <row r="46" spans="1:14" x14ac:dyDescent="0.2">
      <c r="A46" s="286"/>
      <c r="B46" s="437" t="s">
        <v>393</v>
      </c>
      <c r="C46" s="291">
        <v>0</v>
      </c>
      <c r="D46" s="291"/>
      <c r="E46" s="291">
        <v>0</v>
      </c>
      <c r="F46" s="291"/>
      <c r="G46" s="291">
        <v>0</v>
      </c>
      <c r="H46" s="291"/>
      <c r="I46" s="291">
        <v>0</v>
      </c>
      <c r="J46" s="291"/>
      <c r="K46" s="291">
        <v>0</v>
      </c>
      <c r="L46" s="286"/>
      <c r="M46" s="286"/>
      <c r="N46" s="286"/>
    </row>
    <row r="47" spans="1:14" x14ac:dyDescent="0.2">
      <c r="A47" s="286"/>
      <c r="B47" s="437" t="s">
        <v>394</v>
      </c>
      <c r="C47" s="291">
        <f>'Stmt Position'!C24+'Stmt Position'!C15</f>
        <v>3200000</v>
      </c>
      <c r="D47" s="291"/>
      <c r="E47" s="291">
        <f>'Stmt Position'!E24+'Stmt Position'!E15</f>
        <v>3600000</v>
      </c>
      <c r="F47" s="291"/>
      <c r="G47" s="291">
        <f>'Stmt Position'!G24+'Stmt Position'!G15</f>
        <v>4300000</v>
      </c>
      <c r="H47" s="291"/>
      <c r="I47" s="291" t="e">
        <f>'Stmt Position'!#REF!+'Stmt Position'!#REF!</f>
        <v>#REF!</v>
      </c>
      <c r="J47" s="291"/>
      <c r="K47" s="291">
        <f>'Stmt Position'!I24+'Stmt Position'!I15</f>
        <v>4425000</v>
      </c>
      <c r="L47" s="286"/>
      <c r="M47" s="286"/>
      <c r="N47" s="286"/>
    </row>
    <row r="48" spans="1:14" x14ac:dyDescent="0.2">
      <c r="A48" s="286"/>
      <c r="B48" s="437" t="s">
        <v>294</v>
      </c>
      <c r="C48" s="291">
        <f>'Stmt Position'!C25</f>
        <v>0</v>
      </c>
      <c r="D48" s="291"/>
      <c r="E48" s="291">
        <f>'Stmt Position'!E25</f>
        <v>0</v>
      </c>
      <c r="F48" s="291"/>
      <c r="G48" s="291">
        <f>'Stmt Position'!G25</f>
        <v>0</v>
      </c>
      <c r="H48" s="291"/>
      <c r="I48" s="291" t="e">
        <f>'Stmt Position'!#REF!</f>
        <v>#REF!</v>
      </c>
      <c r="J48" s="291"/>
      <c r="K48" s="291">
        <f>'Stmt Position'!I25</f>
        <v>0</v>
      </c>
      <c r="L48" s="286"/>
      <c r="M48" s="286"/>
      <c r="N48" s="286"/>
    </row>
    <row r="49" spans="1:14" x14ac:dyDescent="0.2">
      <c r="A49" s="286"/>
      <c r="B49" s="437" t="s">
        <v>278</v>
      </c>
      <c r="C49" s="291">
        <f>'Stmt Position'!C26</f>
        <v>0</v>
      </c>
      <c r="D49" s="291"/>
      <c r="E49" s="291">
        <f>'Stmt Position'!E26</f>
        <v>0</v>
      </c>
      <c r="F49" s="291"/>
      <c r="G49" s="291">
        <f>'Stmt Position'!G26</f>
        <v>0</v>
      </c>
      <c r="H49" s="291"/>
      <c r="I49" s="291" t="e">
        <f>'Stmt Position'!#REF!</f>
        <v>#REF!</v>
      </c>
      <c r="J49" s="291"/>
      <c r="K49" s="291">
        <f>'Stmt Position'!I26</f>
        <v>0</v>
      </c>
      <c r="L49" s="286"/>
      <c r="M49" s="286"/>
      <c r="N49" s="286"/>
    </row>
    <row r="50" spans="1:14" x14ac:dyDescent="0.2">
      <c r="A50" s="286"/>
      <c r="B50" s="286"/>
      <c r="C50" s="286"/>
      <c r="D50" s="286"/>
      <c r="E50" s="286"/>
      <c r="F50" s="286"/>
      <c r="G50" s="286"/>
      <c r="H50" s="286"/>
      <c r="I50" s="286"/>
      <c r="J50" s="286"/>
      <c r="K50" s="286"/>
      <c r="L50" s="286"/>
      <c r="M50" s="286"/>
      <c r="N50" s="286"/>
    </row>
    <row r="51" spans="1:14" x14ac:dyDescent="0.2">
      <c r="A51" s="286"/>
      <c r="B51" s="286"/>
      <c r="C51" s="286"/>
      <c r="D51" s="286"/>
      <c r="E51" s="286"/>
      <c r="F51" s="286"/>
      <c r="G51" s="286"/>
      <c r="H51" s="286"/>
      <c r="I51" s="286"/>
      <c r="J51" s="286"/>
      <c r="K51" s="286"/>
      <c r="L51" s="286"/>
      <c r="M51" s="286"/>
      <c r="N51" s="286"/>
    </row>
    <row r="52" spans="1:14" x14ac:dyDescent="0.2">
      <c r="A52" s="286"/>
      <c r="B52" s="286"/>
      <c r="C52" s="286"/>
      <c r="D52" s="286"/>
      <c r="E52" s="286"/>
      <c r="F52" s="286"/>
      <c r="G52" s="286"/>
      <c r="H52" s="286"/>
      <c r="I52" s="286"/>
      <c r="J52" s="286"/>
      <c r="K52" s="286"/>
      <c r="L52" s="286"/>
      <c r="M52" s="286"/>
      <c r="N52" s="286"/>
    </row>
    <row r="53" spans="1:14" x14ac:dyDescent="0.2">
      <c r="A53" s="286"/>
      <c r="B53" s="286"/>
      <c r="C53" s="286"/>
      <c r="D53" s="286"/>
      <c r="E53" s="286"/>
      <c r="F53" s="286"/>
      <c r="G53" s="286"/>
      <c r="H53" s="286"/>
      <c r="I53" s="286"/>
      <c r="J53" s="286"/>
      <c r="K53" s="286"/>
      <c r="L53" s="286"/>
      <c r="M53" s="286"/>
      <c r="N53" s="286"/>
    </row>
    <row r="54" spans="1:14" x14ac:dyDescent="0.2">
      <c r="A54" s="286"/>
      <c r="B54" s="286"/>
      <c r="C54" s="286"/>
      <c r="D54" s="286"/>
      <c r="E54" s="286"/>
      <c r="F54" s="286"/>
      <c r="G54" s="286"/>
      <c r="H54" s="286"/>
      <c r="I54" s="286"/>
      <c r="J54" s="286"/>
      <c r="K54" s="286"/>
      <c r="L54" s="286"/>
      <c r="M54" s="286"/>
      <c r="N54" s="286"/>
    </row>
    <row r="55" spans="1:14" x14ac:dyDescent="0.2">
      <c r="A55" s="286"/>
      <c r="B55" s="286"/>
      <c r="C55" s="286"/>
      <c r="D55" s="286"/>
      <c r="E55" s="286"/>
      <c r="F55" s="286"/>
      <c r="G55" s="286"/>
      <c r="H55" s="286"/>
      <c r="I55" s="286"/>
      <c r="J55" s="286"/>
      <c r="K55" s="286"/>
      <c r="L55" s="286"/>
      <c r="M55" s="286"/>
      <c r="N55" s="286"/>
    </row>
    <row r="56" spans="1:14" x14ac:dyDescent="0.2">
      <c r="A56" s="286"/>
      <c r="B56" s="286"/>
      <c r="C56" s="286"/>
      <c r="D56" s="286"/>
      <c r="E56" s="286"/>
      <c r="F56" s="286"/>
      <c r="G56" s="286"/>
      <c r="H56" s="286"/>
      <c r="I56" s="286"/>
      <c r="J56" s="286"/>
      <c r="K56" s="286"/>
      <c r="L56" s="286"/>
      <c r="M56" s="286"/>
      <c r="N56" s="286"/>
    </row>
    <row r="57" spans="1:14" x14ac:dyDescent="0.2">
      <c r="A57" s="286"/>
      <c r="B57" s="286"/>
      <c r="C57" s="286"/>
      <c r="D57" s="286"/>
      <c r="E57" s="286"/>
      <c r="F57" s="286"/>
      <c r="G57" s="286"/>
      <c r="H57" s="286"/>
      <c r="I57" s="286"/>
      <c r="J57" s="286"/>
      <c r="K57" s="286"/>
      <c r="L57" s="286"/>
      <c r="M57" s="286"/>
      <c r="N57" s="286"/>
    </row>
    <row r="58" spans="1:14" x14ac:dyDescent="0.2">
      <c r="A58" s="286"/>
      <c r="B58" s="286"/>
      <c r="C58" s="286"/>
      <c r="D58" s="286"/>
      <c r="E58" s="286"/>
      <c r="F58" s="286"/>
      <c r="G58" s="286"/>
      <c r="H58" s="286"/>
      <c r="I58" s="286"/>
      <c r="J58" s="286"/>
      <c r="K58" s="286"/>
      <c r="L58" s="286"/>
      <c r="M58" s="286"/>
      <c r="N58" s="286"/>
    </row>
    <row r="59" spans="1:14" x14ac:dyDescent="0.2">
      <c r="A59" s="286"/>
      <c r="B59" s="286"/>
      <c r="C59" s="286"/>
      <c r="D59" s="286"/>
      <c r="E59" s="286"/>
      <c r="F59" s="286"/>
      <c r="G59" s="286"/>
      <c r="H59" s="286"/>
      <c r="I59" s="286"/>
      <c r="J59" s="286"/>
      <c r="K59" s="286"/>
      <c r="L59" s="286"/>
      <c r="M59" s="286"/>
      <c r="N59" s="286"/>
    </row>
    <row r="60" spans="1:14" x14ac:dyDescent="0.2">
      <c r="A60" s="286"/>
      <c r="B60" s="286"/>
      <c r="C60" s="286"/>
      <c r="D60" s="286"/>
      <c r="E60" s="286"/>
      <c r="F60" s="286"/>
      <c r="G60" s="286"/>
      <c r="H60" s="286"/>
      <c r="I60" s="286"/>
      <c r="J60" s="286"/>
      <c r="K60" s="286"/>
      <c r="L60" s="286"/>
      <c r="M60" s="286"/>
      <c r="N60" s="286"/>
    </row>
    <row r="61" spans="1:14" x14ac:dyDescent="0.2">
      <c r="A61" s="286"/>
      <c r="B61" s="286"/>
      <c r="C61" s="286"/>
      <c r="D61" s="286"/>
      <c r="E61" s="286"/>
      <c r="F61" s="286"/>
      <c r="G61" s="286"/>
      <c r="H61" s="286"/>
      <c r="I61" s="286"/>
      <c r="J61" s="286"/>
      <c r="K61" s="286"/>
      <c r="L61" s="286"/>
      <c r="M61" s="286"/>
      <c r="N61" s="286"/>
    </row>
    <row r="62" spans="1:14" x14ac:dyDescent="0.2">
      <c r="A62" s="286"/>
      <c r="B62" s="286"/>
      <c r="C62" s="286"/>
      <c r="D62" s="286"/>
      <c r="E62" s="286"/>
      <c r="F62" s="286"/>
      <c r="G62" s="286"/>
      <c r="H62" s="286"/>
      <c r="I62" s="286"/>
      <c r="J62" s="286"/>
      <c r="K62" s="286"/>
      <c r="L62" s="286"/>
      <c r="M62" s="286"/>
      <c r="N62" s="286"/>
    </row>
    <row r="63" spans="1:14" x14ac:dyDescent="0.2">
      <c r="A63" s="286"/>
      <c r="B63" s="286"/>
      <c r="C63" s="286"/>
      <c r="D63" s="286"/>
      <c r="E63" s="286"/>
      <c r="F63" s="286"/>
      <c r="G63" s="286"/>
      <c r="H63" s="286"/>
      <c r="I63" s="286"/>
      <c r="J63" s="286"/>
      <c r="K63" s="286"/>
      <c r="L63" s="286"/>
      <c r="M63" s="286"/>
      <c r="N63" s="286"/>
    </row>
    <row r="64" spans="1:14" x14ac:dyDescent="0.2">
      <c r="A64" s="286"/>
      <c r="B64" s="286"/>
      <c r="C64" s="286"/>
      <c r="D64" s="286"/>
      <c r="E64" s="286"/>
      <c r="F64" s="286"/>
      <c r="G64" s="286"/>
      <c r="H64" s="286"/>
      <c r="I64" s="286"/>
      <c r="J64" s="286"/>
      <c r="K64" s="286"/>
      <c r="L64" s="286"/>
      <c r="M64" s="286"/>
      <c r="N64" s="286"/>
    </row>
    <row r="65" spans="1:14" x14ac:dyDescent="0.2">
      <c r="A65" s="286"/>
      <c r="B65" s="286"/>
      <c r="C65" s="286"/>
      <c r="D65" s="286"/>
      <c r="E65" s="286"/>
      <c r="F65" s="286"/>
      <c r="G65" s="286"/>
      <c r="H65" s="286"/>
      <c r="I65" s="286"/>
      <c r="J65" s="286"/>
      <c r="K65" s="286"/>
      <c r="L65" s="286"/>
      <c r="M65" s="286"/>
      <c r="N65" s="286"/>
    </row>
    <row r="66" spans="1:14" x14ac:dyDescent="0.2">
      <c r="A66" s="286"/>
      <c r="B66" s="286"/>
      <c r="C66" s="286"/>
      <c r="D66" s="286"/>
      <c r="E66" s="286"/>
      <c r="F66" s="286"/>
      <c r="G66" s="286"/>
      <c r="H66" s="286"/>
      <c r="I66" s="286"/>
      <c r="J66" s="286"/>
      <c r="K66" s="286"/>
      <c r="L66" s="286"/>
      <c r="M66" s="286"/>
      <c r="N66" s="286"/>
    </row>
    <row r="67" spans="1:14" x14ac:dyDescent="0.2">
      <c r="A67" s="286"/>
      <c r="B67" s="286"/>
      <c r="C67" s="286"/>
      <c r="D67" s="286"/>
      <c r="E67" s="286"/>
      <c r="F67" s="286"/>
      <c r="G67" s="286"/>
      <c r="H67" s="286"/>
      <c r="I67" s="286"/>
      <c r="J67" s="286"/>
      <c r="K67" s="286"/>
      <c r="L67" s="286"/>
      <c r="M67" s="286"/>
      <c r="N67" s="286"/>
    </row>
    <row r="68" spans="1:14" x14ac:dyDescent="0.2">
      <c r="A68" s="286"/>
      <c r="B68" s="286"/>
      <c r="C68" s="286"/>
      <c r="D68" s="286"/>
      <c r="E68" s="286"/>
      <c r="F68" s="286"/>
      <c r="G68" s="286"/>
      <c r="H68" s="286"/>
      <c r="I68" s="286"/>
      <c r="J68" s="286"/>
      <c r="K68" s="286"/>
      <c r="L68" s="286"/>
      <c r="M68" s="286"/>
      <c r="N68" s="286"/>
    </row>
    <row r="69" spans="1:14" ht="19.5" x14ac:dyDescent="0.25">
      <c r="A69" s="285" t="s">
        <v>395</v>
      </c>
      <c r="B69" s="286"/>
      <c r="C69" s="286"/>
      <c r="D69" s="286"/>
      <c r="E69" s="286"/>
      <c r="F69" s="286"/>
      <c r="G69" s="286"/>
      <c r="H69" s="286"/>
      <c r="I69" s="286"/>
      <c r="J69" s="286"/>
      <c r="K69" s="286"/>
      <c r="L69" s="286"/>
      <c r="M69" s="286"/>
      <c r="N69" s="286"/>
    </row>
    <row r="70" spans="1:14" x14ac:dyDescent="0.2">
      <c r="A70" s="286"/>
      <c r="B70" s="286"/>
      <c r="C70" s="435">
        <f>Sum!C3</f>
        <v>40908</v>
      </c>
      <c r="D70" s="435"/>
      <c r="E70" s="435">
        <f>Sum!E3</f>
        <v>41274</v>
      </c>
      <c r="F70" s="435"/>
      <c r="G70" s="435">
        <f>Sum!G3</f>
        <v>41639</v>
      </c>
      <c r="H70" s="435"/>
      <c r="I70" s="435" t="e">
        <f>Sum!I3</f>
        <v>#REF!</v>
      </c>
      <c r="J70" s="435"/>
      <c r="K70" s="435">
        <f>Sum!K3</f>
        <v>42004</v>
      </c>
      <c r="L70" s="286"/>
      <c r="M70" s="286"/>
      <c r="N70" s="286"/>
    </row>
    <row r="71" spans="1:14" x14ac:dyDescent="0.2">
      <c r="A71" s="440" t="s">
        <v>396</v>
      </c>
      <c r="B71" s="441" t="s">
        <v>397</v>
      </c>
      <c r="C71" s="442" t="str">
        <f>Sum!C106</f>
        <v>$100,000</v>
      </c>
      <c r="D71" s="442"/>
      <c r="E71" s="442" t="str">
        <f>Sum!E106</f>
        <v>$150,000</v>
      </c>
      <c r="F71" s="442"/>
      <c r="G71" s="442" t="str">
        <f>Sum!G106</f>
        <v>$50,000</v>
      </c>
      <c r="H71" s="442"/>
      <c r="I71" s="442" t="e">
        <f>Sum!I106</f>
        <v>#REF!</v>
      </c>
      <c r="J71" s="442"/>
      <c r="K71" s="442" t="str">
        <f>Sum!K106</f>
        <v>$100,000</v>
      </c>
      <c r="L71" s="286"/>
      <c r="M71" s="286"/>
      <c r="N71" s="286"/>
    </row>
    <row r="72" spans="1:14" x14ac:dyDescent="0.2">
      <c r="A72" s="440"/>
      <c r="B72" s="441" t="s">
        <v>398</v>
      </c>
      <c r="C72" s="442" t="str">
        <f>Sum!C107</f>
        <v>$50,000</v>
      </c>
      <c r="D72" s="442"/>
      <c r="E72" s="442" t="str">
        <f>Sum!E107</f>
        <v>$0</v>
      </c>
      <c r="F72" s="442"/>
      <c r="G72" s="442" t="str">
        <f>Sum!G107</f>
        <v>$100,000</v>
      </c>
      <c r="H72" s="442"/>
      <c r="I72" s="442" t="e">
        <f>Sum!I107</f>
        <v>#REF!</v>
      </c>
      <c r="J72" s="442"/>
      <c r="K72" s="442" t="str">
        <f>Sum!K107</f>
        <v>$50,000</v>
      </c>
      <c r="L72" s="286"/>
      <c r="M72" s="286"/>
      <c r="N72" s="286"/>
    </row>
    <row r="73" spans="1:14" x14ac:dyDescent="0.2">
      <c r="A73" s="440"/>
      <c r="B73" s="441" t="s">
        <v>399</v>
      </c>
      <c r="C73" s="442" t="str">
        <f>Sum!C108</f>
        <v>$25,000</v>
      </c>
      <c r="D73" s="442"/>
      <c r="E73" s="442" t="str">
        <f>Sum!E108</f>
        <v>$75,000</v>
      </c>
      <c r="F73" s="442"/>
      <c r="G73" s="442" t="str">
        <f>Sum!G108</f>
        <v>$5,000</v>
      </c>
      <c r="H73" s="442"/>
      <c r="I73" s="442" t="e">
        <f>Sum!I108</f>
        <v>#REF!</v>
      </c>
      <c r="J73" s="442"/>
      <c r="K73" s="442" t="str">
        <f>Sum!K108</f>
        <v>$65,000</v>
      </c>
      <c r="L73" s="286"/>
      <c r="M73" s="286"/>
      <c r="N73" s="286"/>
    </row>
    <row r="74" spans="1:14" x14ac:dyDescent="0.2">
      <c r="A74" s="286"/>
      <c r="B74" s="286"/>
      <c r="C74" s="286"/>
      <c r="D74" s="286"/>
      <c r="E74" s="286"/>
      <c r="F74" s="286"/>
      <c r="G74" s="286"/>
      <c r="H74" s="286"/>
      <c r="I74" s="286"/>
      <c r="J74" s="286"/>
      <c r="K74" s="286"/>
      <c r="L74" s="286"/>
      <c r="M74" s="286"/>
      <c r="N74" s="286"/>
    </row>
    <row r="75" spans="1:14" x14ac:dyDescent="0.2">
      <c r="A75" s="286"/>
      <c r="B75" s="286"/>
      <c r="C75" s="286"/>
      <c r="D75" s="286"/>
      <c r="E75" s="286"/>
      <c r="F75" s="286"/>
      <c r="G75" s="286"/>
      <c r="H75" s="286"/>
      <c r="I75" s="286"/>
      <c r="J75" s="286"/>
      <c r="K75" s="286"/>
      <c r="L75" s="286"/>
      <c r="M75" s="286"/>
      <c r="N75" s="286"/>
    </row>
    <row r="76" spans="1:14" x14ac:dyDescent="0.2">
      <c r="A76" s="286"/>
      <c r="B76" s="286"/>
      <c r="C76" s="286"/>
      <c r="D76" s="286"/>
      <c r="E76" s="286"/>
      <c r="F76" s="286"/>
      <c r="G76" s="286"/>
      <c r="H76" s="286"/>
      <c r="I76" s="286"/>
      <c r="J76" s="286"/>
      <c r="K76" s="286"/>
      <c r="L76" s="286"/>
      <c r="M76" s="286"/>
      <c r="N76" s="286"/>
    </row>
    <row r="77" spans="1:14" x14ac:dyDescent="0.2">
      <c r="A77" s="286"/>
      <c r="B77" s="286"/>
      <c r="C77" s="286"/>
      <c r="D77" s="286"/>
      <c r="E77" s="286"/>
      <c r="F77" s="286"/>
      <c r="G77" s="286"/>
      <c r="H77" s="286"/>
      <c r="I77" s="286"/>
      <c r="J77" s="286"/>
      <c r="K77" s="286"/>
      <c r="L77" s="286"/>
      <c r="M77" s="286"/>
      <c r="N77" s="286"/>
    </row>
    <row r="78" spans="1:14" x14ac:dyDescent="0.2">
      <c r="A78" s="286"/>
      <c r="B78" s="286"/>
      <c r="C78" s="286"/>
      <c r="D78" s="286"/>
      <c r="E78" s="286"/>
      <c r="F78" s="286"/>
      <c r="G78" s="286"/>
      <c r="H78" s="286"/>
      <c r="I78" s="286"/>
      <c r="J78" s="286"/>
      <c r="K78" s="286"/>
      <c r="L78" s="286"/>
      <c r="M78" s="286"/>
      <c r="N78" s="286"/>
    </row>
    <row r="79" spans="1:14" x14ac:dyDescent="0.2">
      <c r="A79" s="286"/>
      <c r="B79" s="286"/>
      <c r="C79" s="286"/>
      <c r="D79" s="286"/>
      <c r="E79" s="286"/>
      <c r="F79" s="286"/>
      <c r="G79" s="286"/>
      <c r="H79" s="286"/>
      <c r="I79" s="286"/>
      <c r="J79" s="286"/>
      <c r="K79" s="286"/>
      <c r="L79" s="286"/>
      <c r="M79" s="286"/>
      <c r="N79" s="286"/>
    </row>
    <row r="80" spans="1:14" x14ac:dyDescent="0.2">
      <c r="A80" s="286"/>
      <c r="B80" s="286"/>
      <c r="C80" s="286"/>
      <c r="D80" s="286"/>
      <c r="E80" s="286"/>
      <c r="F80" s="286"/>
      <c r="G80" s="286"/>
      <c r="H80" s="286"/>
      <c r="I80" s="286"/>
      <c r="J80" s="286"/>
      <c r="K80" s="286"/>
      <c r="L80" s="286"/>
      <c r="M80" s="286"/>
      <c r="N80" s="286"/>
    </row>
    <row r="81" spans="1:14" x14ac:dyDescent="0.2">
      <c r="A81" s="286"/>
      <c r="B81" s="286"/>
      <c r="C81" s="286"/>
      <c r="D81" s="286"/>
      <c r="E81" s="286"/>
      <c r="F81" s="286"/>
      <c r="G81" s="286"/>
      <c r="H81" s="286"/>
      <c r="I81" s="286"/>
      <c r="J81" s="286"/>
      <c r="K81" s="286"/>
      <c r="L81" s="286"/>
      <c r="M81" s="286"/>
      <c r="N81" s="286"/>
    </row>
    <row r="82" spans="1:14" x14ac:dyDescent="0.2">
      <c r="A82" s="286"/>
      <c r="B82" s="286"/>
      <c r="C82" s="286"/>
      <c r="D82" s="286"/>
      <c r="E82" s="286"/>
      <c r="F82" s="286"/>
      <c r="G82" s="286"/>
      <c r="H82" s="286"/>
      <c r="I82" s="286"/>
      <c r="J82" s="286"/>
      <c r="K82" s="286"/>
      <c r="L82" s="286"/>
      <c r="M82" s="286"/>
      <c r="N82" s="286"/>
    </row>
    <row r="83" spans="1:14" x14ac:dyDescent="0.2">
      <c r="A83" s="286"/>
      <c r="B83" s="286"/>
      <c r="C83" s="286"/>
      <c r="D83" s="286"/>
      <c r="E83" s="286"/>
      <c r="F83" s="286"/>
      <c r="G83" s="286"/>
      <c r="H83" s="286"/>
      <c r="I83" s="286"/>
      <c r="J83" s="286"/>
      <c r="K83" s="286"/>
      <c r="L83" s="286"/>
      <c r="M83" s="286"/>
      <c r="N83" s="286"/>
    </row>
    <row r="84" spans="1:14" x14ac:dyDescent="0.2">
      <c r="A84" s="286"/>
      <c r="B84" s="286"/>
      <c r="C84" s="286"/>
      <c r="D84" s="286"/>
      <c r="E84" s="286"/>
      <c r="F84" s="286"/>
      <c r="G84" s="286"/>
      <c r="H84" s="286"/>
      <c r="I84" s="286"/>
      <c r="J84" s="286"/>
      <c r="K84" s="286"/>
      <c r="L84" s="286"/>
      <c r="M84" s="286"/>
      <c r="N84" s="286"/>
    </row>
    <row r="85" spans="1:14" x14ac:dyDescent="0.2">
      <c r="A85" s="286"/>
      <c r="B85" s="286"/>
      <c r="C85" s="286"/>
      <c r="D85" s="286"/>
      <c r="E85" s="286"/>
      <c r="F85" s="286"/>
      <c r="G85" s="286"/>
      <c r="H85" s="286"/>
      <c r="I85" s="286"/>
      <c r="J85" s="286"/>
      <c r="K85" s="286"/>
      <c r="L85" s="286"/>
      <c r="M85" s="286"/>
      <c r="N85" s="286"/>
    </row>
    <row r="86" spans="1:14" x14ac:dyDescent="0.2">
      <c r="A86" s="286"/>
      <c r="B86" s="286"/>
      <c r="C86" s="286"/>
      <c r="D86" s="286"/>
      <c r="E86" s="286"/>
      <c r="F86" s="286"/>
      <c r="G86" s="286"/>
      <c r="H86" s="286"/>
      <c r="I86" s="286"/>
      <c r="J86" s="286"/>
      <c r="K86" s="286"/>
      <c r="L86" s="286"/>
      <c r="M86" s="286"/>
      <c r="N86" s="286"/>
    </row>
    <row r="87" spans="1:14" x14ac:dyDescent="0.2">
      <c r="A87" s="286"/>
      <c r="B87" s="286"/>
      <c r="C87" s="286"/>
      <c r="D87" s="286"/>
      <c r="E87" s="286"/>
      <c r="F87" s="286"/>
      <c r="G87" s="286"/>
      <c r="H87" s="286"/>
      <c r="I87" s="286"/>
      <c r="J87" s="286"/>
      <c r="K87" s="286"/>
      <c r="L87" s="286"/>
      <c r="M87" s="286"/>
      <c r="N87" s="286"/>
    </row>
    <row r="88" spans="1:14" x14ac:dyDescent="0.2">
      <c r="A88" s="286"/>
      <c r="B88" s="286"/>
      <c r="C88" s="286"/>
      <c r="D88" s="286"/>
      <c r="E88" s="286"/>
      <c r="F88" s="286"/>
      <c r="G88" s="286"/>
      <c r="H88" s="286"/>
      <c r="I88" s="286"/>
      <c r="J88" s="286"/>
      <c r="K88" s="286"/>
      <c r="L88" s="286"/>
      <c r="M88" s="286"/>
      <c r="N88" s="286"/>
    </row>
    <row r="89" spans="1:14" x14ac:dyDescent="0.2">
      <c r="A89" s="286"/>
      <c r="B89" s="286"/>
      <c r="C89" s="286"/>
      <c r="D89" s="286"/>
      <c r="E89" s="286"/>
      <c r="F89" s="286"/>
      <c r="G89" s="286"/>
      <c r="H89" s="286"/>
      <c r="I89" s="286"/>
      <c r="J89" s="286"/>
      <c r="K89" s="286"/>
      <c r="L89" s="286"/>
      <c r="M89" s="286"/>
      <c r="N89" s="286"/>
    </row>
    <row r="90" spans="1:14" ht="19.5" x14ac:dyDescent="0.25">
      <c r="A90" s="285" t="s">
        <v>400</v>
      </c>
      <c r="B90" s="286"/>
      <c r="C90" s="286"/>
      <c r="D90" s="286"/>
      <c r="E90" s="286"/>
      <c r="F90" s="286"/>
      <c r="G90" s="286"/>
      <c r="H90" s="286"/>
      <c r="I90" s="286"/>
      <c r="J90" s="286"/>
      <c r="K90" s="286"/>
      <c r="L90" s="286"/>
      <c r="M90" s="286"/>
      <c r="N90" s="286"/>
    </row>
    <row r="91" spans="1:14" x14ac:dyDescent="0.2">
      <c r="A91" s="286"/>
      <c r="B91" s="286"/>
      <c r="C91" s="435">
        <f>Sum!C3</f>
        <v>40908</v>
      </c>
      <c r="D91" s="435"/>
      <c r="E91" s="435">
        <f>Sum!E3</f>
        <v>41274</v>
      </c>
      <c r="F91" s="435"/>
      <c r="G91" s="435">
        <f>Sum!G3</f>
        <v>41639</v>
      </c>
      <c r="H91" s="435"/>
      <c r="I91" s="435" t="e">
        <f>Sum!I3</f>
        <v>#REF!</v>
      </c>
      <c r="J91" s="435"/>
      <c r="K91" s="435">
        <f>Sum!K3</f>
        <v>42004</v>
      </c>
      <c r="L91" s="286"/>
      <c r="M91" s="286"/>
      <c r="N91" s="286"/>
    </row>
    <row r="92" spans="1:14" x14ac:dyDescent="0.2">
      <c r="A92" s="440" t="s">
        <v>396</v>
      </c>
      <c r="B92" s="441" t="s">
        <v>397</v>
      </c>
      <c r="C92" s="443">
        <f>Sum!C116</f>
        <v>2.8169014084507043E-2</v>
      </c>
      <c r="D92" s="286"/>
      <c r="E92" s="443">
        <f>Sum!E116</f>
        <v>3.7037037037037035E-2</v>
      </c>
      <c r="F92" s="443"/>
      <c r="G92" s="443">
        <f>Sum!G116</f>
        <v>1.0256410256410256E-2</v>
      </c>
      <c r="H92" s="443"/>
      <c r="I92" s="443" t="e">
        <f>Sum!I116</f>
        <v>#REF!</v>
      </c>
      <c r="J92" s="443"/>
      <c r="K92" s="443">
        <f>Sum!K116</f>
        <v>1.9900497512437811E-2</v>
      </c>
      <c r="L92" s="286"/>
      <c r="M92" s="286"/>
      <c r="N92" s="286"/>
    </row>
    <row r="93" spans="1:14" x14ac:dyDescent="0.2">
      <c r="A93" s="440"/>
      <c r="B93" s="441" t="s">
        <v>398</v>
      </c>
      <c r="C93" s="443">
        <f>Sum!C117</f>
        <v>1.4084507042253521E-2</v>
      </c>
      <c r="D93" s="286"/>
      <c r="E93" s="443">
        <f>Sum!E117</f>
        <v>0</v>
      </c>
      <c r="F93" s="443"/>
      <c r="G93" s="443">
        <f>Sum!G117</f>
        <v>2.0512820512820513E-2</v>
      </c>
      <c r="H93" s="443"/>
      <c r="I93" s="443" t="e">
        <f>Sum!I117</f>
        <v>#REF!</v>
      </c>
      <c r="J93" s="443"/>
      <c r="K93" s="443">
        <f>Sum!K117</f>
        <v>9.9502487562189053E-3</v>
      </c>
      <c r="L93" s="286"/>
      <c r="M93" s="286"/>
      <c r="N93" s="286"/>
    </row>
    <row r="94" spans="1:14" x14ac:dyDescent="0.2">
      <c r="A94" s="440"/>
      <c r="B94" s="441" t="s">
        <v>399</v>
      </c>
      <c r="C94" s="443">
        <f>Sum!C118</f>
        <v>7.0422535211267607E-3</v>
      </c>
      <c r="D94" s="286"/>
      <c r="E94" s="443">
        <f>Sum!E118</f>
        <v>1.8518518518518517E-2</v>
      </c>
      <c r="F94" s="443"/>
      <c r="G94" s="443">
        <f>Sum!G118</f>
        <v>1.0256410256410256E-3</v>
      </c>
      <c r="H94" s="443"/>
      <c r="I94" s="443" t="e">
        <f>Sum!I118</f>
        <v>#REF!</v>
      </c>
      <c r="J94" s="443"/>
      <c r="K94" s="443">
        <f>Sum!K118</f>
        <v>1.2935323383084577E-2</v>
      </c>
      <c r="L94" s="286"/>
      <c r="M94" s="286"/>
      <c r="N94" s="286"/>
    </row>
    <row r="95" spans="1:14" x14ac:dyDescent="0.2">
      <c r="A95" s="286"/>
      <c r="B95" s="286"/>
      <c r="C95" s="286"/>
      <c r="D95" s="286"/>
      <c r="E95" s="286"/>
      <c r="F95" s="286"/>
      <c r="G95" s="286"/>
      <c r="H95" s="286"/>
      <c r="I95" s="286"/>
      <c r="J95" s="286"/>
      <c r="K95" s="286"/>
      <c r="L95" s="286"/>
      <c r="M95" s="286"/>
      <c r="N95" s="286"/>
    </row>
    <row r="96" spans="1:14" x14ac:dyDescent="0.2">
      <c r="A96" s="286"/>
      <c r="B96" s="286"/>
      <c r="C96" s="286"/>
      <c r="D96" s="286"/>
      <c r="E96" s="286"/>
      <c r="F96" s="286"/>
      <c r="G96" s="286"/>
      <c r="H96" s="286"/>
      <c r="I96" s="286"/>
      <c r="J96" s="286"/>
      <c r="K96" s="286"/>
      <c r="L96" s="286"/>
      <c r="M96" s="286"/>
      <c r="N96" s="286"/>
    </row>
    <row r="97" spans="1:14" x14ac:dyDescent="0.2">
      <c r="A97" s="286"/>
      <c r="B97" s="286"/>
      <c r="C97" s="286"/>
      <c r="D97" s="286"/>
      <c r="E97" s="286"/>
      <c r="F97" s="286"/>
      <c r="G97" s="286"/>
      <c r="H97" s="286"/>
      <c r="I97" s="286"/>
      <c r="J97" s="286"/>
      <c r="K97" s="286"/>
      <c r="L97" s="286"/>
      <c r="M97" s="286"/>
      <c r="N97" s="286"/>
    </row>
    <row r="98" spans="1:14" x14ac:dyDescent="0.2">
      <c r="A98" s="286"/>
      <c r="B98" s="286"/>
      <c r="C98" s="286"/>
      <c r="D98" s="286"/>
      <c r="E98" s="286"/>
      <c r="F98" s="286"/>
      <c r="G98" s="286"/>
      <c r="H98" s="286"/>
      <c r="I98" s="286"/>
      <c r="J98" s="286"/>
      <c r="K98" s="286"/>
      <c r="L98" s="286"/>
      <c r="M98" s="286"/>
      <c r="N98" s="286"/>
    </row>
    <row r="99" spans="1:14" x14ac:dyDescent="0.2">
      <c r="A99" s="286"/>
      <c r="B99" s="286"/>
      <c r="C99" s="286"/>
      <c r="D99" s="286"/>
      <c r="E99" s="286"/>
      <c r="F99" s="286"/>
      <c r="G99" s="286"/>
      <c r="H99" s="286"/>
      <c r="I99" s="286"/>
      <c r="J99" s="286"/>
      <c r="K99" s="286"/>
      <c r="L99" s="286"/>
      <c r="M99" s="286"/>
      <c r="N99" s="286"/>
    </row>
    <row r="100" spans="1:14" x14ac:dyDescent="0.2">
      <c r="A100" s="286"/>
      <c r="B100" s="286"/>
      <c r="C100" s="286"/>
      <c r="D100" s="286"/>
      <c r="E100" s="286"/>
      <c r="F100" s="286"/>
      <c r="G100" s="286"/>
      <c r="H100" s="286"/>
      <c r="I100" s="286"/>
      <c r="J100" s="286"/>
      <c r="K100" s="286"/>
      <c r="L100" s="286"/>
      <c r="M100" s="286"/>
      <c r="N100" s="286"/>
    </row>
    <row r="101" spans="1:14" x14ac:dyDescent="0.2">
      <c r="A101" s="286"/>
      <c r="B101" s="286"/>
      <c r="C101" s="286"/>
      <c r="D101" s="286"/>
      <c r="E101" s="286"/>
      <c r="F101" s="286"/>
      <c r="G101" s="286"/>
      <c r="H101" s="286"/>
      <c r="I101" s="286"/>
      <c r="J101" s="286"/>
      <c r="K101" s="286"/>
      <c r="L101" s="286"/>
      <c r="M101" s="286"/>
      <c r="N101" s="286"/>
    </row>
    <row r="102" spans="1:14" x14ac:dyDescent="0.2">
      <c r="A102" s="286"/>
      <c r="B102" s="286"/>
      <c r="C102" s="286"/>
      <c r="D102" s="286"/>
      <c r="E102" s="286"/>
      <c r="F102" s="286"/>
      <c r="G102" s="286"/>
      <c r="H102" s="286"/>
      <c r="I102" s="286"/>
      <c r="J102" s="286"/>
      <c r="K102" s="286"/>
      <c r="L102" s="286"/>
      <c r="M102" s="286"/>
      <c r="N102" s="286"/>
    </row>
    <row r="103" spans="1:14" x14ac:dyDescent="0.2">
      <c r="A103" s="286"/>
      <c r="B103" s="286"/>
      <c r="C103" s="286"/>
      <c r="D103" s="286"/>
      <c r="E103" s="286"/>
      <c r="F103" s="286"/>
      <c r="G103" s="286"/>
      <c r="H103" s="286"/>
      <c r="I103" s="286"/>
      <c r="J103" s="286"/>
      <c r="K103" s="286"/>
      <c r="L103" s="286"/>
      <c r="M103" s="286"/>
      <c r="N103" s="286"/>
    </row>
    <row r="104" spans="1:14" x14ac:dyDescent="0.2">
      <c r="A104" s="286"/>
      <c r="B104" s="286"/>
      <c r="C104" s="286"/>
      <c r="D104" s="286"/>
      <c r="E104" s="286"/>
      <c r="F104" s="286"/>
      <c r="G104" s="286"/>
      <c r="H104" s="286"/>
      <c r="I104" s="286"/>
      <c r="J104" s="286"/>
      <c r="K104" s="286"/>
      <c r="L104" s="286"/>
      <c r="M104" s="286"/>
      <c r="N104" s="286"/>
    </row>
    <row r="105" spans="1:14" x14ac:dyDescent="0.2">
      <c r="A105" s="286"/>
      <c r="B105" s="286"/>
      <c r="C105" s="286"/>
      <c r="D105" s="286"/>
      <c r="E105" s="286"/>
      <c r="F105" s="286"/>
      <c r="G105" s="286"/>
      <c r="H105" s="286"/>
      <c r="I105" s="286"/>
      <c r="J105" s="286"/>
      <c r="K105" s="286"/>
      <c r="L105" s="286"/>
      <c r="M105" s="286"/>
      <c r="N105" s="286"/>
    </row>
    <row r="106" spans="1:14" x14ac:dyDescent="0.2">
      <c r="A106" s="286"/>
      <c r="B106" s="286"/>
      <c r="C106" s="286"/>
      <c r="D106" s="286"/>
      <c r="E106" s="286"/>
      <c r="F106" s="286"/>
      <c r="G106" s="286"/>
      <c r="H106" s="286"/>
      <c r="I106" s="286"/>
      <c r="J106" s="286"/>
      <c r="K106" s="286"/>
      <c r="L106" s="286"/>
      <c r="M106" s="286"/>
      <c r="N106" s="286"/>
    </row>
    <row r="107" spans="1:14" x14ac:dyDescent="0.2">
      <c r="A107" s="286"/>
      <c r="B107" s="286"/>
      <c r="C107" s="286"/>
      <c r="D107" s="286"/>
      <c r="E107" s="286"/>
      <c r="F107" s="286"/>
      <c r="G107" s="286"/>
      <c r="H107" s="286"/>
      <c r="I107" s="286"/>
      <c r="J107" s="286"/>
      <c r="K107" s="286"/>
      <c r="L107" s="286"/>
      <c r="M107" s="286"/>
      <c r="N107" s="286"/>
    </row>
    <row r="108" spans="1:14" x14ac:dyDescent="0.2">
      <c r="A108" s="286"/>
      <c r="B108" s="286"/>
      <c r="C108" s="286"/>
      <c r="D108" s="286"/>
      <c r="E108" s="286"/>
      <c r="F108" s="286"/>
      <c r="G108" s="286"/>
      <c r="H108" s="286"/>
      <c r="I108" s="286"/>
      <c r="J108" s="286"/>
      <c r="K108" s="286"/>
      <c r="L108" s="286"/>
      <c r="M108" s="286"/>
      <c r="N108" s="286"/>
    </row>
    <row r="109" spans="1:14" x14ac:dyDescent="0.2">
      <c r="A109" s="286"/>
      <c r="B109" s="286"/>
      <c r="C109" s="286"/>
      <c r="D109" s="286"/>
      <c r="E109" s="286"/>
      <c r="F109" s="286"/>
      <c r="G109" s="286"/>
      <c r="H109" s="286"/>
      <c r="I109" s="286"/>
      <c r="J109" s="286"/>
      <c r="K109" s="286"/>
      <c r="L109" s="286"/>
      <c r="M109" s="286"/>
      <c r="N109" s="286"/>
    </row>
    <row r="110" spans="1:14" x14ac:dyDescent="0.2">
      <c r="A110" s="286"/>
      <c r="B110" s="286"/>
      <c r="C110" s="286"/>
      <c r="D110" s="286"/>
      <c r="E110" s="286"/>
      <c r="F110" s="286"/>
      <c r="G110" s="286"/>
      <c r="H110" s="286"/>
      <c r="I110" s="286"/>
      <c r="J110" s="286"/>
      <c r="K110" s="286"/>
      <c r="L110" s="286"/>
      <c r="M110" s="286"/>
      <c r="N110" s="286"/>
    </row>
    <row r="111" spans="1:14" x14ac:dyDescent="0.2">
      <c r="A111" s="286"/>
      <c r="B111" s="286"/>
      <c r="C111" s="286"/>
      <c r="D111" s="286"/>
      <c r="E111" s="286"/>
      <c r="F111" s="286"/>
      <c r="G111" s="286"/>
      <c r="H111" s="286"/>
      <c r="I111" s="286"/>
      <c r="J111" s="286"/>
      <c r="K111" s="286"/>
      <c r="L111" s="286"/>
      <c r="M111" s="286"/>
      <c r="N111" s="286"/>
    </row>
    <row r="114" spans="1:11" ht="19.5" x14ac:dyDescent="0.25">
      <c r="A114" s="285" t="s">
        <v>401</v>
      </c>
      <c r="B114" s="286"/>
      <c r="C114" s="286"/>
      <c r="D114" s="286"/>
      <c r="E114" s="286"/>
      <c r="F114" s="286"/>
      <c r="G114" s="286"/>
      <c r="H114" s="286"/>
      <c r="I114" s="286"/>
      <c r="J114" s="286"/>
      <c r="K114" s="286"/>
    </row>
    <row r="115" spans="1:11" x14ac:dyDescent="0.2">
      <c r="A115" s="286"/>
      <c r="B115" s="286"/>
      <c r="C115" s="435">
        <f>Sum!C3</f>
        <v>40908</v>
      </c>
      <c r="D115" s="435"/>
      <c r="E115" s="435">
        <f>Sum!E3</f>
        <v>41274</v>
      </c>
      <c r="F115" s="435"/>
      <c r="G115" s="435">
        <f>Sum!G3</f>
        <v>41639</v>
      </c>
      <c r="H115" s="435"/>
      <c r="I115" s="435" t="e">
        <f>Sum!I3</f>
        <v>#REF!</v>
      </c>
      <c r="J115" s="435"/>
      <c r="K115" s="435">
        <f>Sum!K3</f>
        <v>42004</v>
      </c>
    </row>
    <row r="116" spans="1:11" x14ac:dyDescent="0.2">
      <c r="A116" s="440"/>
      <c r="B116" s="441" t="s">
        <v>402</v>
      </c>
      <c r="C116" s="442" t="str">
        <f>Sum!C109</f>
        <v>$175,000</v>
      </c>
      <c r="D116" s="442"/>
      <c r="E116" s="442" t="str">
        <f>Sum!E109</f>
        <v>$225,000</v>
      </c>
      <c r="F116" s="442"/>
      <c r="G116" s="442" t="str">
        <f>Sum!G109</f>
        <v>$155,000</v>
      </c>
      <c r="H116" s="442"/>
      <c r="I116" s="442" t="e">
        <f>Sum!I109</f>
        <v>#REF!</v>
      </c>
      <c r="J116" s="442"/>
      <c r="K116" s="442" t="str">
        <f>Sum!K109</f>
        <v>$215,000</v>
      </c>
    </row>
    <row r="117" spans="1:11" x14ac:dyDescent="0.2">
      <c r="A117" s="440"/>
      <c r="B117" s="437" t="s">
        <v>403</v>
      </c>
      <c r="C117" s="442">
        <f>Sum!C102</f>
        <v>350000</v>
      </c>
      <c r="D117" s="442"/>
      <c r="E117" s="442">
        <f>Sum!E102</f>
        <v>450000</v>
      </c>
      <c r="F117" s="442"/>
      <c r="G117" s="442">
        <f>Sum!G102</f>
        <v>575000</v>
      </c>
      <c r="H117" s="442"/>
      <c r="I117" s="442" t="e">
        <f>Sum!I102</f>
        <v>#REF!</v>
      </c>
      <c r="J117" s="442"/>
      <c r="K117" s="442">
        <f>Sum!K102</f>
        <v>600000</v>
      </c>
    </row>
    <row r="118" spans="1:11" x14ac:dyDescent="0.2">
      <c r="A118" s="440"/>
      <c r="B118" s="286" t="s">
        <v>404</v>
      </c>
      <c r="C118" s="442">
        <f>Sum!C112</f>
        <v>40000</v>
      </c>
      <c r="D118" s="442"/>
      <c r="E118" s="442">
        <f>Sum!E112</f>
        <v>2000</v>
      </c>
      <c r="F118" s="442"/>
      <c r="G118" s="442">
        <f>Sum!G112</f>
        <v>70000</v>
      </c>
      <c r="H118" s="442"/>
      <c r="I118" s="442" t="e">
        <f>Sum!I112</f>
        <v>#REF!</v>
      </c>
      <c r="J118" s="442"/>
      <c r="K118" s="442">
        <f>Sum!K112</f>
        <v>30000</v>
      </c>
    </row>
    <row r="119" spans="1:11" x14ac:dyDescent="0.2">
      <c r="A119" s="286"/>
      <c r="B119" s="286"/>
      <c r="C119" s="286"/>
      <c r="D119" s="286"/>
      <c r="E119" s="286"/>
      <c r="F119" s="286"/>
      <c r="G119" s="286"/>
      <c r="H119" s="286"/>
      <c r="I119" s="286"/>
      <c r="J119" s="286"/>
      <c r="K119" s="286"/>
    </row>
    <row r="120" spans="1:11" x14ac:dyDescent="0.2">
      <c r="A120" s="286"/>
      <c r="B120" s="286"/>
      <c r="C120" s="286"/>
      <c r="D120" s="286"/>
      <c r="E120" s="286"/>
      <c r="F120" s="286"/>
      <c r="G120" s="286"/>
      <c r="H120" s="286"/>
      <c r="I120" s="286"/>
      <c r="J120" s="286"/>
      <c r="K120" s="286"/>
    </row>
    <row r="121" spans="1:11" x14ac:dyDescent="0.2">
      <c r="A121" s="286"/>
      <c r="B121" s="286"/>
      <c r="C121" s="286"/>
      <c r="D121" s="286"/>
      <c r="E121" s="286"/>
      <c r="F121" s="286"/>
      <c r="G121" s="286"/>
      <c r="H121" s="286"/>
      <c r="I121" s="286"/>
      <c r="J121" s="286"/>
      <c r="K121" s="286"/>
    </row>
    <row r="122" spans="1:11" x14ac:dyDescent="0.2">
      <c r="A122" s="286"/>
      <c r="B122" s="286"/>
      <c r="C122" s="286"/>
      <c r="D122" s="286"/>
      <c r="E122" s="286"/>
      <c r="F122" s="286"/>
      <c r="G122" s="286"/>
      <c r="H122" s="286"/>
      <c r="I122" s="286"/>
      <c r="J122" s="286"/>
      <c r="K122" s="286"/>
    </row>
    <row r="123" spans="1:11" x14ac:dyDescent="0.2">
      <c r="A123" s="286"/>
      <c r="B123" s="286"/>
      <c r="C123" s="286"/>
      <c r="D123" s="286"/>
      <c r="E123" s="286"/>
      <c r="F123" s="286"/>
      <c r="G123" s="286"/>
      <c r="H123" s="286"/>
      <c r="I123" s="286"/>
      <c r="J123" s="286"/>
      <c r="K123" s="286"/>
    </row>
    <row r="124" spans="1:11" x14ac:dyDescent="0.2">
      <c r="A124" s="286"/>
      <c r="B124" s="286"/>
      <c r="C124" s="286"/>
      <c r="D124" s="286"/>
      <c r="E124" s="286"/>
      <c r="F124" s="286"/>
      <c r="G124" s="286"/>
      <c r="H124" s="286"/>
      <c r="I124" s="286"/>
      <c r="J124" s="286"/>
      <c r="K124" s="286"/>
    </row>
    <row r="125" spans="1:11" x14ac:dyDescent="0.2">
      <c r="A125" s="286"/>
      <c r="B125" s="286"/>
      <c r="C125" s="286"/>
      <c r="D125" s="286"/>
      <c r="E125" s="286"/>
      <c r="F125" s="286"/>
      <c r="G125" s="286"/>
      <c r="H125" s="286"/>
      <c r="I125" s="286"/>
      <c r="J125" s="286"/>
      <c r="K125" s="286"/>
    </row>
    <row r="126" spans="1:11" x14ac:dyDescent="0.2">
      <c r="A126" s="286"/>
      <c r="B126" s="286"/>
      <c r="C126" s="286"/>
      <c r="D126" s="286"/>
      <c r="E126" s="286"/>
      <c r="F126" s="286"/>
      <c r="G126" s="286"/>
      <c r="H126" s="286"/>
      <c r="I126" s="286"/>
      <c r="J126" s="286"/>
      <c r="K126" s="286"/>
    </row>
    <row r="127" spans="1:11" x14ac:dyDescent="0.2">
      <c r="A127" s="286"/>
      <c r="B127" s="286"/>
      <c r="C127" s="286"/>
      <c r="D127" s="286"/>
      <c r="E127" s="286"/>
      <c r="F127" s="286"/>
      <c r="G127" s="286"/>
      <c r="H127" s="286"/>
      <c r="I127" s="286"/>
      <c r="J127" s="286"/>
      <c r="K127" s="286"/>
    </row>
    <row r="128" spans="1:11" x14ac:dyDescent="0.2">
      <c r="A128" s="286"/>
      <c r="B128" s="286"/>
      <c r="C128" s="286"/>
      <c r="D128" s="286"/>
      <c r="E128" s="286"/>
      <c r="F128" s="286"/>
      <c r="G128" s="286"/>
      <c r="H128" s="286"/>
      <c r="I128" s="286"/>
      <c r="J128" s="286"/>
      <c r="K128" s="286"/>
    </row>
    <row r="129" spans="1:11" x14ac:dyDescent="0.2">
      <c r="A129" s="286"/>
      <c r="B129" s="286"/>
      <c r="C129" s="286"/>
      <c r="D129" s="286"/>
      <c r="E129" s="286"/>
      <c r="F129" s="286"/>
      <c r="G129" s="286"/>
      <c r="H129" s="286"/>
      <c r="I129" s="286"/>
      <c r="J129" s="286"/>
      <c r="K129" s="286"/>
    </row>
    <row r="130" spans="1:11" x14ac:dyDescent="0.2">
      <c r="A130" s="286"/>
      <c r="B130" s="286"/>
      <c r="C130" s="286"/>
      <c r="D130" s="286"/>
      <c r="E130" s="286"/>
      <c r="F130" s="286"/>
      <c r="G130" s="286"/>
      <c r="H130" s="286"/>
      <c r="I130" s="286"/>
      <c r="J130" s="286"/>
      <c r="K130" s="286"/>
    </row>
    <row r="131" spans="1:11" x14ac:dyDescent="0.2">
      <c r="A131" s="286"/>
      <c r="B131" s="286"/>
      <c r="C131" s="286"/>
      <c r="D131" s="286"/>
      <c r="E131" s="286"/>
      <c r="F131" s="286"/>
      <c r="G131" s="286"/>
      <c r="H131" s="286"/>
      <c r="I131" s="286"/>
      <c r="J131" s="286"/>
      <c r="K131" s="286"/>
    </row>
    <row r="132" spans="1:11" x14ac:dyDescent="0.2">
      <c r="A132" s="286"/>
      <c r="B132" s="286"/>
      <c r="C132" s="286"/>
      <c r="D132" s="286"/>
      <c r="E132" s="286"/>
      <c r="F132" s="286"/>
      <c r="G132" s="286"/>
      <c r="H132" s="286"/>
      <c r="I132" s="286"/>
      <c r="J132" s="286"/>
      <c r="K132" s="286"/>
    </row>
    <row r="133" spans="1:11" x14ac:dyDescent="0.2">
      <c r="A133" s="286"/>
      <c r="B133" s="286"/>
      <c r="C133" s="286"/>
      <c r="D133" s="286"/>
      <c r="E133" s="286"/>
      <c r="F133" s="286"/>
      <c r="G133" s="286"/>
      <c r="H133" s="286"/>
      <c r="I133" s="286"/>
      <c r="J133" s="286"/>
      <c r="K133" s="286"/>
    </row>
    <row r="134" spans="1:11" x14ac:dyDescent="0.2">
      <c r="A134" s="286"/>
      <c r="B134" s="286"/>
      <c r="C134" s="286"/>
      <c r="D134" s="286"/>
      <c r="E134" s="286"/>
      <c r="F134" s="286"/>
      <c r="G134" s="286"/>
      <c r="H134" s="286"/>
      <c r="I134" s="286"/>
      <c r="J134" s="286"/>
      <c r="K134" s="286"/>
    </row>
    <row r="135" spans="1:11" ht="19.5" x14ac:dyDescent="0.25">
      <c r="A135" s="285" t="s">
        <v>405</v>
      </c>
      <c r="B135" s="286"/>
      <c r="C135" s="286"/>
      <c r="D135" s="286"/>
      <c r="E135" s="286"/>
      <c r="F135" s="286"/>
      <c r="G135" s="286"/>
      <c r="H135" s="286"/>
      <c r="I135" s="286"/>
      <c r="J135" s="286"/>
      <c r="K135" s="286"/>
    </row>
    <row r="136" spans="1:11" x14ac:dyDescent="0.2">
      <c r="A136" s="286"/>
      <c r="B136" s="286"/>
      <c r="C136" s="435">
        <f>Sum!C3</f>
        <v>40908</v>
      </c>
      <c r="D136" s="435"/>
      <c r="E136" s="435">
        <f>Sum!E3</f>
        <v>41274</v>
      </c>
      <c r="F136" s="435"/>
      <c r="G136" s="435">
        <f>Sum!G3</f>
        <v>41639</v>
      </c>
      <c r="H136" s="435"/>
      <c r="I136" s="435" t="e">
        <f>Sum!I3</f>
        <v>#REF!</v>
      </c>
      <c r="J136" s="435"/>
      <c r="K136" s="435">
        <f>Sum!K3</f>
        <v>42004</v>
      </c>
    </row>
    <row r="137" spans="1:11" x14ac:dyDescent="0.2">
      <c r="A137" s="440" t="s">
        <v>396</v>
      </c>
      <c r="B137" s="441" t="s">
        <v>402</v>
      </c>
      <c r="C137" s="443">
        <f>Sum!C119</f>
        <v>4.9295774647887321E-2</v>
      </c>
      <c r="D137" s="443"/>
      <c r="E137" s="443">
        <f>Sum!E119</f>
        <v>5.5555555555555552E-2</v>
      </c>
      <c r="F137" s="443"/>
      <c r="G137" s="443">
        <f>Sum!G119</f>
        <v>3.1794871794871796E-2</v>
      </c>
      <c r="H137" s="443"/>
      <c r="I137" s="443" t="e">
        <f>Sum!I119</f>
        <v>#REF!</v>
      </c>
      <c r="J137" s="443"/>
      <c r="K137" s="443">
        <f>Sum!K119</f>
        <v>4.2786069651741296E-2</v>
      </c>
    </row>
    <row r="138" spans="1:11" x14ac:dyDescent="0.2">
      <c r="A138" s="440"/>
      <c r="B138" s="437" t="s">
        <v>403</v>
      </c>
      <c r="C138" s="443">
        <f>Sum!C30</f>
        <v>9.8591549295774641E-2</v>
      </c>
      <c r="D138" s="443"/>
      <c r="E138" s="443">
        <f>Sum!E30</f>
        <v>0.1111111111111111</v>
      </c>
      <c r="F138" s="443"/>
      <c r="G138" s="443">
        <f>Sum!G30</f>
        <v>0.11794871794871795</v>
      </c>
      <c r="H138" s="443"/>
      <c r="I138" s="443" t="e">
        <f>Sum!I30</f>
        <v>#REF!</v>
      </c>
      <c r="J138" s="443"/>
      <c r="K138" s="443">
        <f>Sum!K30</f>
        <v>0.11940298507462686</v>
      </c>
    </row>
    <row r="139" spans="1:11" x14ac:dyDescent="0.2">
      <c r="A139" s="440"/>
      <c r="B139" s="286" t="s">
        <v>404</v>
      </c>
      <c r="C139" s="443">
        <f>Sum!C122</f>
        <v>1.1267605633802818E-2</v>
      </c>
      <c r="D139" s="443"/>
      <c r="E139" s="443">
        <f>Sum!E122</f>
        <v>4.9382716049382717E-4</v>
      </c>
      <c r="F139" s="443"/>
      <c r="G139" s="443">
        <f>Sum!G122</f>
        <v>1.4358974358974359E-2</v>
      </c>
      <c r="H139" s="443"/>
      <c r="I139" s="443" t="e">
        <f>Sum!I122</f>
        <v>#REF!</v>
      </c>
      <c r="J139" s="443"/>
      <c r="K139" s="443">
        <f>Sum!K122</f>
        <v>5.9701492537313433E-3</v>
      </c>
    </row>
    <row r="158" spans="1:11" ht="19.5" x14ac:dyDescent="0.25">
      <c r="A158" s="285" t="s">
        <v>406</v>
      </c>
    </row>
    <row r="160" spans="1:11" x14ac:dyDescent="0.2">
      <c r="B160" s="286"/>
      <c r="C160" s="435">
        <f>'Stmt Activities'!C4</f>
        <v>40908</v>
      </c>
      <c r="D160" s="435"/>
      <c r="E160" s="435">
        <f>'Stmt Activities'!E4</f>
        <v>41274</v>
      </c>
      <c r="F160" s="435"/>
      <c r="G160" s="435">
        <f>'Stmt Activities'!G4</f>
        <v>41639</v>
      </c>
      <c r="H160" s="435"/>
      <c r="I160" s="435" t="e">
        <f>'Stmt Activities'!I4</f>
        <v>#REF!</v>
      </c>
      <c r="J160" s="435"/>
      <c r="K160" s="435">
        <f>'Stmt Activities'!K4</f>
        <v>42004</v>
      </c>
    </row>
    <row r="161" spans="2:11" x14ac:dyDescent="0.2">
      <c r="B161" s="437" t="s">
        <v>38</v>
      </c>
      <c r="C161" s="442">
        <f>'Stmt Activities'!C16</f>
        <v>-69600</v>
      </c>
      <c r="D161" s="442"/>
      <c r="E161" s="442">
        <f>'Stmt Activities'!E16</f>
        <v>-84250</v>
      </c>
      <c r="F161" s="442"/>
      <c r="G161" s="442">
        <f>'Stmt Activities'!G16</f>
        <v>-124000</v>
      </c>
      <c r="H161" s="442"/>
      <c r="I161" s="442" t="e">
        <f>'Stmt Activities'!I16</f>
        <v>#REF!</v>
      </c>
      <c r="J161" s="442"/>
      <c r="K161" s="442">
        <f>'Stmt Activities'!K16</f>
        <v>-13880</v>
      </c>
    </row>
    <row r="162" spans="2:11" x14ac:dyDescent="0.2">
      <c r="B162" s="444" t="s">
        <v>39</v>
      </c>
      <c r="C162" s="442">
        <f>'Stmt Activities'!C23</f>
        <v>275000</v>
      </c>
      <c r="D162" s="442"/>
      <c r="E162" s="442">
        <f>'Stmt Activities'!E23</f>
        <v>415000</v>
      </c>
      <c r="F162" s="442"/>
      <c r="G162" s="442">
        <f>'Stmt Activities'!G23</f>
        <v>543000</v>
      </c>
      <c r="H162" s="442"/>
      <c r="I162" s="442" t="e">
        <f>'Stmt Activities'!I23</f>
        <v>#REF!</v>
      </c>
      <c r="J162" s="442"/>
      <c r="K162" s="442">
        <f>'Stmt Activities'!K23</f>
        <v>542000</v>
      </c>
    </row>
    <row r="163" spans="2:11" x14ac:dyDescent="0.2">
      <c r="B163" s="437" t="s">
        <v>41</v>
      </c>
      <c r="C163" s="442">
        <f>'Stmt Activities'!C29</f>
        <v>300000</v>
      </c>
      <c r="D163" s="442"/>
      <c r="E163" s="442">
        <f>'Stmt Activities'!E29</f>
        <v>547000</v>
      </c>
      <c r="F163" s="442"/>
      <c r="G163" s="442">
        <f>'Stmt Activities'!G29</f>
        <v>350000</v>
      </c>
      <c r="H163" s="442"/>
      <c r="I163" s="442" t="e">
        <f>'Stmt Activities'!I29</f>
        <v>#REF!</v>
      </c>
      <c r="J163" s="442"/>
      <c r="K163" s="442">
        <f>'Stmt Activities'!K29</f>
        <v>650000</v>
      </c>
    </row>
    <row r="182" spans="1:11" ht="19.5" x14ac:dyDescent="0.25">
      <c r="A182" s="285" t="s">
        <v>407</v>
      </c>
      <c r="B182" s="286"/>
    </row>
    <row r="183" spans="1:11" x14ac:dyDescent="0.2">
      <c r="C183" s="435">
        <f>'Stmt Activities'!C4</f>
        <v>40908</v>
      </c>
      <c r="D183" s="435"/>
      <c r="E183" s="435">
        <f>'Stmt Activities'!E4</f>
        <v>41274</v>
      </c>
      <c r="F183" s="435"/>
      <c r="G183" s="435">
        <f>'Stmt Activities'!G4</f>
        <v>41639</v>
      </c>
      <c r="H183" s="435"/>
      <c r="I183" s="435" t="e">
        <f>'Stmt Activities'!I4</f>
        <v>#REF!</v>
      </c>
      <c r="J183" s="435"/>
      <c r="K183" s="435">
        <f>'Stmt Activities'!K4</f>
        <v>42004</v>
      </c>
    </row>
    <row r="184" spans="1:11" x14ac:dyDescent="0.2">
      <c r="B184" s="437" t="s">
        <v>44</v>
      </c>
      <c r="C184" s="446">
        <f>'Stmt Activities'!C34</f>
        <v>225000</v>
      </c>
      <c r="D184" s="446"/>
      <c r="E184" s="446">
        <f>'Stmt Activities'!E34</f>
        <v>325000</v>
      </c>
      <c r="F184" s="446"/>
      <c r="G184" s="446">
        <f>'Stmt Activities'!G34</f>
        <v>400000</v>
      </c>
      <c r="H184" s="446"/>
      <c r="I184" s="446" t="e">
        <f>'Stmt Activities'!I34</f>
        <v>#REF!</v>
      </c>
      <c r="J184" s="446"/>
      <c r="K184" s="446">
        <f>'Stmt Activities'!K34</f>
        <v>575000</v>
      </c>
    </row>
    <row r="185" spans="1:11" x14ac:dyDescent="0.2">
      <c r="B185" s="437" t="s">
        <v>45</v>
      </c>
      <c r="C185" s="446">
        <f>'Stmt Activities'!C35</f>
        <v>75000</v>
      </c>
      <c r="D185" s="446"/>
      <c r="E185" s="446">
        <f>'Stmt Activities'!E35</f>
        <v>100000</v>
      </c>
      <c r="F185" s="446"/>
      <c r="G185" s="446">
        <f>'Stmt Activities'!G35</f>
        <v>150000</v>
      </c>
      <c r="H185" s="446"/>
      <c r="I185" s="446" t="e">
        <f>'Stmt Activities'!I35</f>
        <v>#REF!</v>
      </c>
      <c r="J185" s="446"/>
      <c r="K185" s="446">
        <f>'Stmt Activities'!K35</f>
        <v>155000</v>
      </c>
    </row>
    <row r="186" spans="1:11" x14ac:dyDescent="0.2">
      <c r="B186" s="437" t="s">
        <v>46</v>
      </c>
      <c r="C186" s="446">
        <f>'Stmt Activities'!C37</f>
        <v>7500</v>
      </c>
      <c r="D186" s="446"/>
      <c r="E186" s="446">
        <f>'Stmt Activities'!E37</f>
        <v>8750</v>
      </c>
      <c r="F186" s="446"/>
      <c r="G186" s="446">
        <f>'Stmt Activities'!G37</f>
        <v>10000</v>
      </c>
      <c r="H186" s="446"/>
      <c r="I186" s="446" t="e">
        <f>'Stmt Activities'!I37</f>
        <v>#REF!</v>
      </c>
      <c r="J186" s="446"/>
      <c r="K186" s="446">
        <f>'Stmt Activities'!K37</f>
        <v>10020</v>
      </c>
    </row>
    <row r="187" spans="1:11" x14ac:dyDescent="0.2">
      <c r="B187" s="437" t="s">
        <v>48</v>
      </c>
      <c r="C187" s="446">
        <f>'Stmt Activities'!C38</f>
        <v>160000</v>
      </c>
      <c r="D187" s="446"/>
      <c r="E187" s="446">
        <f>'Stmt Activities'!E38</f>
        <v>180000</v>
      </c>
      <c r="F187" s="446"/>
      <c r="G187" s="446">
        <f>'Stmt Activities'!G38</f>
        <v>300000</v>
      </c>
      <c r="H187" s="446"/>
      <c r="I187" s="446" t="e">
        <f>'Stmt Activities'!I38</f>
        <v>#REF!</v>
      </c>
      <c r="J187" s="446"/>
      <c r="K187" s="446">
        <f>'Stmt Activities'!K38</f>
        <v>385350</v>
      </c>
    </row>
    <row r="206" spans="1:11" ht="19.5" x14ac:dyDescent="0.25">
      <c r="A206" s="285" t="s">
        <v>408</v>
      </c>
    </row>
    <row r="207" spans="1:11" ht="19.5" x14ac:dyDescent="0.25">
      <c r="A207" s="285"/>
      <c r="C207" s="435">
        <f>'Stmt Activities'!C4</f>
        <v>40908</v>
      </c>
      <c r="D207" s="435"/>
      <c r="E207" s="435">
        <f>'Stmt Activities'!E4</f>
        <v>41274</v>
      </c>
      <c r="F207" s="435"/>
      <c r="G207" s="435">
        <f>'Stmt Activities'!G4</f>
        <v>41639</v>
      </c>
      <c r="H207" s="435"/>
      <c r="I207" s="435" t="e">
        <f>'Stmt Activities'!I4</f>
        <v>#REF!</v>
      </c>
      <c r="J207" s="435"/>
      <c r="K207" s="435">
        <f>'Stmt Activities'!K4</f>
        <v>42004</v>
      </c>
    </row>
    <row r="208" spans="1:11" x14ac:dyDescent="0.2">
      <c r="B208" s="437" t="s">
        <v>70</v>
      </c>
      <c r="C208" s="446">
        <f>'Stmt Activities'!C31-'Stmt Activities'!C11-'Stmt Activities'!C13</f>
        <v>675400</v>
      </c>
      <c r="D208" s="446"/>
      <c r="E208" s="446">
        <f>'Stmt Activities'!E31-'Stmt Activities'!E11-'Stmt Activities'!E13</f>
        <v>1087750</v>
      </c>
      <c r="F208" s="446"/>
      <c r="G208" s="446">
        <f>'Stmt Activities'!G31-'Stmt Activities'!G11-'Stmt Activities'!G13</f>
        <v>1044000</v>
      </c>
      <c r="H208" s="446"/>
      <c r="I208" s="446" t="e">
        <f>'Stmt Activities'!I31-'Stmt Activities'!I11-'Stmt Activities'!I13</f>
        <v>#REF!</v>
      </c>
      <c r="J208" s="446"/>
      <c r="K208" s="446">
        <f>'Stmt Activities'!K31-'Stmt Activities'!K11-'Stmt Activities'!K13</f>
        <v>1393120</v>
      </c>
    </row>
    <row r="209" spans="2:11" x14ac:dyDescent="0.2">
      <c r="B209" s="437" t="s">
        <v>20</v>
      </c>
      <c r="C209" s="446">
        <f>'Stmt Activities'!C40-'Stmt Activities'!C11-'Stmt Activities'!C13</f>
        <v>637500</v>
      </c>
      <c r="D209" s="446"/>
      <c r="E209" s="446">
        <f>'Stmt Activities'!E40-'Stmt Activities'!E11-'Stmt Activities'!E13</f>
        <v>823750</v>
      </c>
      <c r="F209" s="446"/>
      <c r="G209" s="446">
        <f>'Stmt Activities'!G40-'Stmt Activities'!G11-'Stmt Activities'!G13</f>
        <v>1135000</v>
      </c>
      <c r="H209" s="446"/>
      <c r="I209" s="446" t="e">
        <f>'Stmt Activities'!I40-'Stmt Activities'!I11-'Stmt Activities'!I13</f>
        <v>#REF!</v>
      </c>
      <c r="J209" s="446"/>
      <c r="K209" s="446">
        <f>'Stmt Activities'!K40-'Stmt Activities'!K11-'Stmt Activities'!K13</f>
        <v>1340370</v>
      </c>
    </row>
    <row r="228" spans="1:11" ht="19.5" x14ac:dyDescent="0.25">
      <c r="A228" s="285" t="s">
        <v>409</v>
      </c>
    </row>
    <row r="229" spans="1:11" x14ac:dyDescent="0.2">
      <c r="B229" s="286"/>
      <c r="C229" s="435">
        <f>Sum!C3</f>
        <v>40908</v>
      </c>
      <c r="D229" s="435"/>
      <c r="E229" s="435">
        <f>Sum!E3</f>
        <v>41274</v>
      </c>
      <c r="F229" s="435"/>
      <c r="G229" s="435">
        <f>Sum!G3</f>
        <v>41639</v>
      </c>
      <c r="H229" s="435"/>
      <c r="I229" s="435" t="e">
        <f>Sum!I3</f>
        <v>#REF!</v>
      </c>
      <c r="J229" s="435"/>
      <c r="K229" s="435">
        <f>Sum!K3</f>
        <v>42004</v>
      </c>
    </row>
    <row r="230" spans="1:11" x14ac:dyDescent="0.2">
      <c r="B230" s="286" t="s">
        <v>18</v>
      </c>
      <c r="C230" s="445">
        <f>Sum!C34</f>
        <v>375400</v>
      </c>
      <c r="D230" s="445"/>
      <c r="E230" s="445">
        <f>Sum!E34</f>
        <v>540750</v>
      </c>
      <c r="F230" s="445"/>
      <c r="G230" s="445">
        <f>Sum!G34</f>
        <v>694000</v>
      </c>
      <c r="H230" s="445"/>
      <c r="I230" s="445" t="e">
        <f>Sum!I34</f>
        <v>#REF!</v>
      </c>
      <c r="J230" s="445"/>
      <c r="K230" s="445">
        <f>Sum!K34</f>
        <v>743120</v>
      </c>
    </row>
    <row r="231" spans="1:11" x14ac:dyDescent="0.2">
      <c r="B231" s="286" t="s">
        <v>43</v>
      </c>
      <c r="C231" s="445">
        <f>Sum!C36</f>
        <v>467500</v>
      </c>
      <c r="D231" s="445"/>
      <c r="E231" s="445">
        <f>Sum!E36</f>
        <v>613750</v>
      </c>
      <c r="F231" s="445"/>
      <c r="G231" s="445">
        <f>Sum!G36</f>
        <v>860000</v>
      </c>
      <c r="H231" s="445"/>
      <c r="I231" s="445" t="e">
        <f>Sum!I36</f>
        <v>#REF!</v>
      </c>
      <c r="J231" s="445"/>
      <c r="K231" s="445">
        <f>Sum!K36</f>
        <v>1125370</v>
      </c>
    </row>
    <row r="232" spans="1:11" x14ac:dyDescent="0.2">
      <c r="B232" s="286"/>
      <c r="C232" s="286"/>
      <c r="D232" s="286"/>
      <c r="E232" s="286"/>
      <c r="F232" s="286"/>
      <c r="G232" s="286"/>
      <c r="H232" s="286"/>
      <c r="I232" s="286"/>
      <c r="J232" s="286"/>
      <c r="K232" s="286"/>
    </row>
    <row r="233" spans="1:11" x14ac:dyDescent="0.2">
      <c r="B233" s="286"/>
      <c r="C233" s="435">
        <f>Sum!C3</f>
        <v>40908</v>
      </c>
      <c r="D233" s="435"/>
      <c r="E233" s="435">
        <f>Sum!E3</f>
        <v>41274</v>
      </c>
      <c r="F233" s="435"/>
      <c r="G233" s="435">
        <f>Sum!G3</f>
        <v>41639</v>
      </c>
      <c r="H233" s="435"/>
      <c r="I233" s="435" t="e">
        <f>Sum!I3</f>
        <v>#REF!</v>
      </c>
      <c r="J233" s="435"/>
      <c r="K233" s="435">
        <f>Sum!K3</f>
        <v>42004</v>
      </c>
    </row>
    <row r="234" spans="1:11" x14ac:dyDescent="0.2">
      <c r="B234" s="286" t="s">
        <v>409</v>
      </c>
      <c r="C234" s="443">
        <f>Sum!C42</f>
        <v>0.58886274509803926</v>
      </c>
      <c r="D234" s="443"/>
      <c r="E234" s="443">
        <f>Sum!E42</f>
        <v>0.65644916540212439</v>
      </c>
      <c r="F234" s="443"/>
      <c r="G234" s="443">
        <f>Sum!G42</f>
        <v>0.61145374449339207</v>
      </c>
      <c r="H234" s="443"/>
      <c r="I234" s="443" t="e">
        <f>Sum!I42</f>
        <v>#REF!</v>
      </c>
      <c r="J234" s="443"/>
      <c r="K234" s="443">
        <f>Sum!K42</f>
        <v>0.5544140796944127</v>
      </c>
    </row>
    <row r="235" spans="1:11" x14ac:dyDescent="0.2">
      <c r="B235" s="286"/>
      <c r="C235" s="286"/>
      <c r="D235" s="286"/>
      <c r="E235" s="286"/>
      <c r="F235" s="286"/>
      <c r="G235" s="286"/>
      <c r="H235" s="286"/>
      <c r="I235" s="286"/>
      <c r="J235" s="286"/>
      <c r="K235" s="286"/>
    </row>
    <row r="236" spans="1:11" x14ac:dyDescent="0.2">
      <c r="B236" s="286"/>
      <c r="C236" s="286"/>
      <c r="D236" s="286"/>
      <c r="E236" s="286"/>
      <c r="F236" s="286"/>
      <c r="G236" s="286"/>
      <c r="H236" s="286"/>
      <c r="I236" s="286"/>
      <c r="J236" s="286"/>
      <c r="K236" s="286"/>
    </row>
    <row r="237" spans="1:11" x14ac:dyDescent="0.2">
      <c r="B237" s="286"/>
      <c r="C237" s="286"/>
      <c r="D237" s="286"/>
      <c r="E237" s="286"/>
      <c r="F237" s="286"/>
      <c r="G237" s="286"/>
      <c r="H237" s="286"/>
      <c r="I237" s="286"/>
      <c r="J237" s="286"/>
      <c r="K237" s="286"/>
    </row>
    <row r="238" spans="1:11" x14ac:dyDescent="0.2">
      <c r="B238" s="286"/>
      <c r="C238" s="286"/>
      <c r="D238" s="286"/>
      <c r="E238" s="286"/>
      <c r="F238" s="286"/>
      <c r="G238" s="286"/>
      <c r="H238" s="286"/>
      <c r="I238" s="286"/>
      <c r="J238" s="286"/>
      <c r="K238" s="286"/>
    </row>
    <row r="239" spans="1:11" x14ac:dyDescent="0.2">
      <c r="B239" s="286"/>
      <c r="C239" s="286"/>
      <c r="D239" s="286"/>
      <c r="E239" s="286"/>
      <c r="F239" s="286"/>
      <c r="G239" s="286"/>
      <c r="H239" s="286"/>
      <c r="I239" s="286"/>
      <c r="J239" s="286"/>
      <c r="K239" s="286"/>
    </row>
  </sheetData>
  <phoneticPr fontId="3" type="noConversion"/>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76934243400E4F95C7D1D43E6677BD" ma:contentTypeVersion="2" ma:contentTypeDescription="Create a new document." ma:contentTypeScope="" ma:versionID="3e02e9dd66afadcff3b1f1ab02b1b3a8">
  <xsd:schema xmlns:xsd="http://www.w3.org/2001/XMLSchema" xmlns:xs="http://www.w3.org/2001/XMLSchema" xmlns:p="http://schemas.microsoft.com/office/2006/metadata/properties" xmlns:ns2="5794cecd-2e65-453b-a6e6-ff9a75d6fc00" xmlns:ns3="9a6b0647-4fa8-4c14-a22d-ce2e877068b6" targetNamespace="http://schemas.microsoft.com/office/2006/metadata/properties" ma:root="true" ma:fieldsID="87e24618460e76d0d6e11ee2948491fe" ns2:_="" ns3:_="">
    <xsd:import namespace="5794cecd-2e65-453b-a6e6-ff9a75d6fc00"/>
    <xsd:import namespace="9a6b0647-4fa8-4c14-a22d-ce2e877068b6"/>
    <xsd:element name="properties">
      <xsd:complexType>
        <xsd:sequence>
          <xsd:element name="documentManagement">
            <xsd:complexType>
              <xsd:all>
                <xsd:element ref="ns2: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94cecd-2e65-453b-a6e6-ff9a75d6fc0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a6b0647-4fa8-4c14-a22d-ce2e877068b6" elementFormDefault="qualified">
    <xsd:import namespace="http://schemas.microsoft.com/office/2006/documentManagement/types"/>
    <xsd:import namespace="http://schemas.microsoft.com/office/infopath/2007/PartnerControls"/>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55F95A-F0CF-4CB5-B2EC-D553F59EC588}">
  <ds:schemaRefs>
    <ds:schemaRef ds:uri="http://schemas.microsoft.com/sharepoint/v3/contenttype/forms"/>
  </ds:schemaRefs>
</ds:datastoreItem>
</file>

<file path=customXml/itemProps2.xml><?xml version="1.0" encoding="utf-8"?>
<ds:datastoreItem xmlns:ds="http://schemas.openxmlformats.org/officeDocument/2006/customXml" ds:itemID="{07508425-F823-4C4B-AE8B-3DC8D0929D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94cecd-2e65-453b-a6e6-ff9a75d6fc00"/>
    <ds:schemaRef ds:uri="9a6b0647-4fa8-4c14-a22d-ce2e877068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498F21-393D-45B0-B11D-26CB822736DA}">
  <ds:schemaRefs>
    <ds:schemaRef ds:uri="http://purl.org/dc/terms/"/>
    <ds:schemaRef ds:uri="5794cecd-2e65-453b-a6e6-ff9a75d6fc00"/>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9a6b0647-4fa8-4c14-a22d-ce2e877068b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INPUT</vt:lpstr>
      <vt:lpstr>Stmt Position</vt:lpstr>
      <vt:lpstr>Stmt Activities</vt:lpstr>
      <vt:lpstr>Ratios </vt:lpstr>
      <vt:lpstr>Sum</vt:lpstr>
      <vt:lpstr>B of A Ratios</vt:lpstr>
      <vt:lpstr>covenants</vt:lpstr>
      <vt:lpstr>Graphs NEW</vt:lpstr>
      <vt:lpstr>Graphs</vt:lpstr>
      <vt:lpstr>Definitions</vt:lpstr>
      <vt:lpstr>'Ratios '!Print_Area</vt:lpstr>
      <vt:lpstr>'Stmt Activities'!Print_Area</vt:lpstr>
      <vt:lpstr>'Stmt Position'!Print_Area</vt:lpstr>
      <vt:lpstr>Sum!Print_Area</vt:lpstr>
    </vt:vector>
  </TitlesOfParts>
  <Company>ncca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Kathy</dc:creator>
  <cp:lastModifiedBy>Jon Schwartz</cp:lastModifiedBy>
  <cp:lastPrinted>2011-06-30T19:38:15Z</cp:lastPrinted>
  <dcterms:created xsi:type="dcterms:W3CDTF">2004-07-19T15:15:35Z</dcterms:created>
  <dcterms:modified xsi:type="dcterms:W3CDTF">2022-04-29T18:06:58Z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0x010100F976934243400E4F95C7D1D43E6677BD</vt:lpwstr>
  </property>
</Properties>
</file>